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ziobonifacio/ownCloud/Copy for cloud/Papers cloud/For debate material/"/>
    </mc:Choice>
  </mc:AlternateContent>
  <xr:revisionPtr revIDLastSave="0" documentId="13_ncr:1_{15866171-E4F5-5141-B34A-050606C4474E}" xr6:coauthVersionLast="47" xr6:coauthVersionMax="47" xr10:uidLastSave="{00000000-0000-0000-0000-000000000000}"/>
  <bookViews>
    <workbookView xWindow="1680" yWindow="3800" windowWidth="25480" windowHeight="14480" xr2:uid="{F7CD9943-1911-534B-9B54-C266AF9D0DE2}"/>
  </bookViews>
  <sheets>
    <sheet name="ESM Table S1" sheetId="2" r:id="rId1"/>
  </sheets>
  <definedNames>
    <definedName name="_xlnm.Print_Area" localSheetId="0">'ESM Table S1'!$A$1:$O$99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2" l="1"/>
  <c r="E30" i="2"/>
  <c r="E31" i="2"/>
  <c r="E32" i="2"/>
  <c r="E33" i="2"/>
  <c r="E35" i="2"/>
  <c r="E36" i="2"/>
  <c r="E37" i="2"/>
  <c r="E38" i="2"/>
  <c r="E99" i="2" l="1"/>
  <c r="C99" i="2"/>
  <c r="D99" i="2" s="1"/>
  <c r="E98" i="2"/>
  <c r="C98" i="2"/>
  <c r="D98" i="2" s="1"/>
  <c r="H98" i="2" s="1"/>
  <c r="E97" i="2"/>
  <c r="C97" i="2"/>
  <c r="D97" i="2" s="1"/>
  <c r="H97" i="2" s="1"/>
  <c r="E96" i="2"/>
  <c r="C96" i="2"/>
  <c r="D96" i="2" s="1"/>
  <c r="H96" i="2" s="1"/>
  <c r="E95" i="2"/>
  <c r="C95" i="2"/>
  <c r="D95" i="2" s="1"/>
  <c r="H95" i="2" s="1"/>
  <c r="E94" i="2"/>
  <c r="C94" i="2"/>
  <c r="D94" i="2" s="1"/>
  <c r="H94" i="2" s="1"/>
  <c r="E93" i="2"/>
  <c r="C93" i="2"/>
  <c r="D93" i="2" s="1"/>
  <c r="H93" i="2" s="1"/>
  <c r="E92" i="2"/>
  <c r="C92" i="2"/>
  <c r="D92" i="2" s="1"/>
  <c r="F92" i="2" s="1"/>
  <c r="M92" i="2" s="1"/>
  <c r="N92" i="2" s="1"/>
  <c r="E91" i="2"/>
  <c r="C91" i="2"/>
  <c r="D91" i="2" s="1"/>
  <c r="G91" i="2" s="1"/>
  <c r="E90" i="2"/>
  <c r="C90" i="2"/>
  <c r="D90" i="2" s="1"/>
  <c r="H90" i="2" s="1"/>
  <c r="E89" i="2"/>
  <c r="C89" i="2"/>
  <c r="D89" i="2" s="1"/>
  <c r="F89" i="2" s="1"/>
  <c r="L84" i="2"/>
  <c r="M84" i="2" s="1"/>
  <c r="N84" i="2" s="1"/>
  <c r="D84" i="2"/>
  <c r="C84" i="2"/>
  <c r="E84" i="2" s="1"/>
  <c r="L83" i="2"/>
  <c r="M83" i="2" s="1"/>
  <c r="N83" i="2" s="1"/>
  <c r="D83" i="2"/>
  <c r="C83" i="2"/>
  <c r="E83" i="2" s="1"/>
  <c r="H83" i="2" s="1"/>
  <c r="L82" i="2"/>
  <c r="M82" i="2" s="1"/>
  <c r="N82" i="2" s="1"/>
  <c r="D82" i="2"/>
  <c r="C82" i="2"/>
  <c r="E82" i="2" s="1"/>
  <c r="L81" i="2"/>
  <c r="M81" i="2" s="1"/>
  <c r="N81" i="2" s="1"/>
  <c r="D81" i="2"/>
  <c r="C81" i="2"/>
  <c r="E81" i="2" s="1"/>
  <c r="L80" i="2"/>
  <c r="M80" i="2" s="1"/>
  <c r="N80" i="2" s="1"/>
  <c r="D80" i="2"/>
  <c r="C80" i="2"/>
  <c r="E80" i="2" s="1"/>
  <c r="L79" i="2"/>
  <c r="M79" i="2" s="1"/>
  <c r="N79" i="2" s="1"/>
  <c r="D79" i="2"/>
  <c r="C79" i="2"/>
  <c r="E79" i="2" s="1"/>
  <c r="H79" i="2" s="1"/>
  <c r="L78" i="2"/>
  <c r="M78" i="2" s="1"/>
  <c r="N78" i="2" s="1"/>
  <c r="D78" i="2"/>
  <c r="C78" i="2"/>
  <c r="E78" i="2" s="1"/>
  <c r="H78" i="2" s="1"/>
  <c r="L77" i="2"/>
  <c r="M77" i="2" s="1"/>
  <c r="N77" i="2" s="1"/>
  <c r="D77" i="2"/>
  <c r="C77" i="2"/>
  <c r="E77" i="2" s="1"/>
  <c r="L76" i="2"/>
  <c r="M76" i="2" s="1"/>
  <c r="N76" i="2" s="1"/>
  <c r="D76" i="2"/>
  <c r="C76" i="2"/>
  <c r="E76" i="2" s="1"/>
  <c r="L75" i="2"/>
  <c r="M75" i="2" s="1"/>
  <c r="N75" i="2" s="1"/>
  <c r="D75" i="2"/>
  <c r="C75" i="2"/>
  <c r="E75" i="2" s="1"/>
  <c r="H75" i="2" s="1"/>
  <c r="L74" i="2"/>
  <c r="M74" i="2" s="1"/>
  <c r="N74" i="2" s="1"/>
  <c r="D74" i="2"/>
  <c r="C74" i="2"/>
  <c r="E74" i="2" s="1"/>
  <c r="L69" i="2"/>
  <c r="M69" i="2" s="1"/>
  <c r="N69" i="2" s="1"/>
  <c r="D69" i="2"/>
  <c r="C69" i="2"/>
  <c r="E69" i="2" s="1"/>
  <c r="F69" i="2" s="1"/>
  <c r="L68" i="2"/>
  <c r="M68" i="2" s="1"/>
  <c r="N68" i="2" s="1"/>
  <c r="D68" i="2"/>
  <c r="C68" i="2"/>
  <c r="E68" i="2" s="1"/>
  <c r="L67" i="2"/>
  <c r="M67" i="2" s="1"/>
  <c r="N67" i="2" s="1"/>
  <c r="D67" i="2"/>
  <c r="C67" i="2"/>
  <c r="E67" i="2" s="1"/>
  <c r="H67" i="2" s="1"/>
  <c r="L66" i="2"/>
  <c r="M66" i="2" s="1"/>
  <c r="N66" i="2" s="1"/>
  <c r="D66" i="2"/>
  <c r="C66" i="2"/>
  <c r="E66" i="2" s="1"/>
  <c r="H66" i="2" s="1"/>
  <c r="L65" i="2"/>
  <c r="M65" i="2" s="1"/>
  <c r="N65" i="2" s="1"/>
  <c r="D65" i="2"/>
  <c r="C65" i="2"/>
  <c r="E65" i="2" s="1"/>
  <c r="L64" i="2"/>
  <c r="M64" i="2" s="1"/>
  <c r="N64" i="2" s="1"/>
  <c r="D64" i="2"/>
  <c r="C64" i="2"/>
  <c r="E64" i="2" s="1"/>
  <c r="L63" i="2"/>
  <c r="M63" i="2" s="1"/>
  <c r="N63" i="2" s="1"/>
  <c r="D63" i="2"/>
  <c r="C63" i="2"/>
  <c r="E63" i="2" s="1"/>
  <c r="F63" i="2" s="1"/>
  <c r="L62" i="2"/>
  <c r="M62" i="2" s="1"/>
  <c r="N62" i="2" s="1"/>
  <c r="D62" i="2"/>
  <c r="C62" i="2"/>
  <c r="E62" i="2" s="1"/>
  <c r="L61" i="2"/>
  <c r="M61" i="2" s="1"/>
  <c r="N61" i="2" s="1"/>
  <c r="D61" i="2"/>
  <c r="C61" i="2"/>
  <c r="E61" i="2" s="1"/>
  <c r="L60" i="2"/>
  <c r="M60" i="2" s="1"/>
  <c r="N60" i="2" s="1"/>
  <c r="D60" i="2"/>
  <c r="C60" i="2"/>
  <c r="E60" i="2" s="1"/>
  <c r="L59" i="2"/>
  <c r="M59" i="2" s="1"/>
  <c r="N59" i="2" s="1"/>
  <c r="D59" i="2"/>
  <c r="C59" i="2"/>
  <c r="E59" i="2" s="1"/>
  <c r="F59" i="2" s="1"/>
  <c r="L54" i="2"/>
  <c r="M54" i="2" s="1"/>
  <c r="N54" i="2" s="1"/>
  <c r="D54" i="2"/>
  <c r="C54" i="2"/>
  <c r="E54" i="2" s="1"/>
  <c r="H54" i="2" s="1"/>
  <c r="L53" i="2"/>
  <c r="M53" i="2" s="1"/>
  <c r="N53" i="2" s="1"/>
  <c r="D53" i="2"/>
  <c r="C53" i="2"/>
  <c r="E53" i="2" s="1"/>
  <c r="L52" i="2"/>
  <c r="M52" i="2" s="1"/>
  <c r="N52" i="2" s="1"/>
  <c r="D52" i="2"/>
  <c r="C52" i="2"/>
  <c r="E52" i="2" s="1"/>
  <c r="L51" i="2"/>
  <c r="M51" i="2" s="1"/>
  <c r="N51" i="2" s="1"/>
  <c r="D51" i="2"/>
  <c r="C51" i="2"/>
  <c r="E51" i="2" s="1"/>
  <c r="H51" i="2" s="1"/>
  <c r="L50" i="2"/>
  <c r="M50" i="2" s="1"/>
  <c r="N50" i="2" s="1"/>
  <c r="D50" i="2"/>
  <c r="C50" i="2"/>
  <c r="E50" i="2" s="1"/>
  <c r="L49" i="2"/>
  <c r="M49" i="2" s="1"/>
  <c r="N49" i="2" s="1"/>
  <c r="D49" i="2"/>
  <c r="C49" i="2"/>
  <c r="E49" i="2" s="1"/>
  <c r="G49" i="2" s="1"/>
  <c r="L48" i="2"/>
  <c r="M48" i="2" s="1"/>
  <c r="N48" i="2" s="1"/>
  <c r="D48" i="2"/>
  <c r="C48" i="2"/>
  <c r="E48" i="2" s="1"/>
  <c r="L47" i="2"/>
  <c r="M47" i="2" s="1"/>
  <c r="N47" i="2" s="1"/>
  <c r="D47" i="2"/>
  <c r="C47" i="2"/>
  <c r="E47" i="2" s="1"/>
  <c r="H47" i="2" s="1"/>
  <c r="L46" i="2"/>
  <c r="M46" i="2" s="1"/>
  <c r="N46" i="2" s="1"/>
  <c r="D46" i="2"/>
  <c r="C46" i="2"/>
  <c r="E46" i="2" s="1"/>
  <c r="L45" i="2"/>
  <c r="M45" i="2" s="1"/>
  <c r="N45" i="2" s="1"/>
  <c r="D45" i="2"/>
  <c r="C45" i="2"/>
  <c r="E45" i="2" s="1"/>
  <c r="L44" i="2"/>
  <c r="M44" i="2" s="1"/>
  <c r="N44" i="2" s="1"/>
  <c r="D44" i="2"/>
  <c r="C44" i="2"/>
  <c r="E44" i="2" s="1"/>
  <c r="I39" i="2"/>
  <c r="C39" i="2"/>
  <c r="E39" i="2" s="1"/>
  <c r="I38" i="2"/>
  <c r="J38" i="2" s="1"/>
  <c r="K38" i="2" s="1"/>
  <c r="C38" i="2"/>
  <c r="F38" i="2" s="1"/>
  <c r="I37" i="2"/>
  <c r="J37" i="2" s="1"/>
  <c r="K37" i="2" s="1"/>
  <c r="L37" i="2" s="1"/>
  <c r="C37" i="2"/>
  <c r="F37" i="2" s="1"/>
  <c r="I36" i="2"/>
  <c r="J36" i="2" s="1"/>
  <c r="K36" i="2" s="1"/>
  <c r="C36" i="2"/>
  <c r="F36" i="2" s="1"/>
  <c r="I35" i="2"/>
  <c r="C35" i="2"/>
  <c r="I34" i="2"/>
  <c r="C34" i="2"/>
  <c r="D34" i="2" s="1"/>
  <c r="I33" i="2"/>
  <c r="C33" i="2"/>
  <c r="D33" i="2" s="1"/>
  <c r="I32" i="2"/>
  <c r="J32" i="2" s="1"/>
  <c r="C32" i="2"/>
  <c r="I31" i="2"/>
  <c r="J31" i="2" s="1"/>
  <c r="C31" i="2"/>
  <c r="I30" i="2"/>
  <c r="J30" i="2" s="1"/>
  <c r="K30" i="2" s="1"/>
  <c r="C30" i="2"/>
  <c r="D30" i="2" s="1"/>
  <c r="I29" i="2"/>
  <c r="C29" i="2"/>
  <c r="E29" i="2" s="1"/>
  <c r="H23" i="2"/>
  <c r="I23" i="2" s="1"/>
  <c r="C23" i="2"/>
  <c r="D23" i="2" s="1"/>
  <c r="H22" i="2"/>
  <c r="I22" i="2" s="1"/>
  <c r="J22" i="2" s="1"/>
  <c r="C22" i="2"/>
  <c r="E22" i="2" s="1"/>
  <c r="H21" i="2"/>
  <c r="I21" i="2" s="1"/>
  <c r="C21" i="2"/>
  <c r="E21" i="2" s="1"/>
  <c r="H20" i="2"/>
  <c r="I20" i="2" s="1"/>
  <c r="J20" i="2" s="1"/>
  <c r="C20" i="2"/>
  <c r="D20" i="2" s="1"/>
  <c r="H19" i="2"/>
  <c r="I19" i="2" s="1"/>
  <c r="J19" i="2" s="1"/>
  <c r="C19" i="2"/>
  <c r="E19" i="2" s="1"/>
  <c r="H18" i="2"/>
  <c r="C18" i="2"/>
  <c r="E18" i="2" s="1"/>
  <c r="H17" i="2"/>
  <c r="I17" i="2" s="1"/>
  <c r="J17" i="2" s="1"/>
  <c r="C17" i="2"/>
  <c r="D17" i="2" s="1"/>
  <c r="H16" i="2"/>
  <c r="I16" i="2" s="1"/>
  <c r="J16" i="2" s="1"/>
  <c r="C16" i="2"/>
  <c r="E16" i="2" s="1"/>
  <c r="H15" i="2"/>
  <c r="C15" i="2"/>
  <c r="E15" i="2" s="1"/>
  <c r="H14" i="2"/>
  <c r="I14" i="2" s="1"/>
  <c r="C14" i="2"/>
  <c r="D14" i="2" s="1"/>
  <c r="H13" i="2"/>
  <c r="I13" i="2" s="1"/>
  <c r="J13" i="2" s="1"/>
  <c r="C13" i="2"/>
  <c r="E13" i="2" s="1"/>
  <c r="G8" i="2"/>
  <c r="H8" i="2" s="1"/>
  <c r="C8" i="2"/>
  <c r="D8" i="2" s="1"/>
  <c r="E8" i="2" s="1"/>
  <c r="F8" i="2" s="1"/>
  <c r="D13" i="2" l="1"/>
  <c r="F31" i="2"/>
  <c r="F32" i="2"/>
  <c r="F34" i="2"/>
  <c r="H92" i="2"/>
  <c r="F33" i="2"/>
  <c r="G54" i="2"/>
  <c r="E23" i="2"/>
  <c r="F23" i="2" s="1"/>
  <c r="G23" i="2" s="1"/>
  <c r="F54" i="2"/>
  <c r="G34" i="2"/>
  <c r="H34" i="2" s="1"/>
  <c r="F77" i="2"/>
  <c r="H77" i="2"/>
  <c r="G61" i="2"/>
  <c r="H61" i="2"/>
  <c r="G76" i="2"/>
  <c r="H76" i="2"/>
  <c r="F82" i="2"/>
  <c r="H82" i="2"/>
  <c r="G82" i="2"/>
  <c r="G68" i="2"/>
  <c r="H68" i="2"/>
  <c r="G48" i="2"/>
  <c r="H48" i="2"/>
  <c r="G45" i="2"/>
  <c r="H45" i="2"/>
  <c r="F53" i="2"/>
  <c r="H53" i="2"/>
  <c r="F65" i="2"/>
  <c r="H65" i="2"/>
  <c r="G80" i="2"/>
  <c r="H80" i="2"/>
  <c r="G84" i="2"/>
  <c r="H84" i="2"/>
  <c r="G44" i="2"/>
  <c r="H44" i="2"/>
  <c r="G62" i="2"/>
  <c r="F62" i="2"/>
  <c r="H62" i="2"/>
  <c r="G81" i="2"/>
  <c r="H81" i="2"/>
  <c r="G52" i="2"/>
  <c r="H52" i="2"/>
  <c r="H74" i="2"/>
  <c r="F74" i="2"/>
  <c r="G74" i="2"/>
  <c r="F46" i="2"/>
  <c r="H46" i="2"/>
  <c r="G46" i="2"/>
  <c r="G60" i="2"/>
  <c r="H60" i="2"/>
  <c r="F50" i="2"/>
  <c r="G50" i="2"/>
  <c r="H50" i="2"/>
  <c r="G64" i="2"/>
  <c r="H64" i="2"/>
  <c r="H91" i="2"/>
  <c r="F30" i="2"/>
  <c r="H63" i="2"/>
  <c r="H49" i="2"/>
  <c r="F78" i="2"/>
  <c r="G66" i="2"/>
  <c r="G78" i="2"/>
  <c r="E20" i="2"/>
  <c r="F20" i="2" s="1"/>
  <c r="G20" i="2" s="1"/>
  <c r="F35" i="2"/>
  <c r="E14" i="2"/>
  <c r="F14" i="2" s="1"/>
  <c r="G14" i="2" s="1"/>
  <c r="F66" i="2"/>
  <c r="E17" i="2"/>
  <c r="F17" i="2" s="1"/>
  <c r="G17" i="2" s="1"/>
  <c r="F29" i="2"/>
  <c r="G98" i="2"/>
  <c r="F98" i="2"/>
  <c r="J35" i="2"/>
  <c r="K35" i="2" s="1"/>
  <c r="G95" i="2"/>
  <c r="F95" i="2"/>
  <c r="G63" i="2"/>
  <c r="F79" i="2"/>
  <c r="G79" i="2"/>
  <c r="G96" i="2"/>
  <c r="F96" i="2"/>
  <c r="G97" i="2"/>
  <c r="F97" i="2"/>
  <c r="M89" i="2"/>
  <c r="N89" i="2" s="1"/>
  <c r="H59" i="2"/>
  <c r="G59" i="2"/>
  <c r="I59" i="2" s="1"/>
  <c r="J59" i="2" s="1"/>
  <c r="D31" i="2"/>
  <c r="F67" i="2"/>
  <c r="G67" i="2"/>
  <c r="G47" i="2"/>
  <c r="G90" i="2"/>
  <c r="F90" i="2"/>
  <c r="D19" i="2"/>
  <c r="F19" i="2" s="1"/>
  <c r="G19" i="2" s="1"/>
  <c r="F47" i="2"/>
  <c r="G51" i="2"/>
  <c r="I15" i="2"/>
  <c r="J15" i="2" s="1"/>
  <c r="F39" i="2"/>
  <c r="F83" i="2"/>
  <c r="G83" i="2"/>
  <c r="H99" i="2"/>
  <c r="G99" i="2"/>
  <c r="F99" i="2"/>
  <c r="K32" i="2"/>
  <c r="L32" i="2" s="1"/>
  <c r="L30" i="2"/>
  <c r="F51" i="2"/>
  <c r="F75" i="2"/>
  <c r="G75" i="2"/>
  <c r="D39" i="2"/>
  <c r="G93" i="2"/>
  <c r="F93" i="2"/>
  <c r="J29" i="2"/>
  <c r="K29" i="2" s="1"/>
  <c r="D36" i="2"/>
  <c r="F49" i="2"/>
  <c r="D16" i="2"/>
  <c r="F16" i="2" s="1"/>
  <c r="G16" i="2" s="1"/>
  <c r="G53" i="2"/>
  <c r="I53" i="2" s="1"/>
  <c r="J53" i="2" s="1"/>
  <c r="G65" i="2"/>
  <c r="G69" i="2"/>
  <c r="G77" i="2"/>
  <c r="G89" i="2"/>
  <c r="F13" i="2"/>
  <c r="G13" i="2" s="1"/>
  <c r="J14" i="2"/>
  <c r="D22" i="2"/>
  <c r="F22" i="2" s="1"/>
  <c r="G22" i="2" s="1"/>
  <c r="J23" i="2"/>
  <c r="D32" i="2"/>
  <c r="L36" i="2"/>
  <c r="O46" i="2"/>
  <c r="O54" i="2"/>
  <c r="O66" i="2"/>
  <c r="H69" i="2"/>
  <c r="O78" i="2"/>
  <c r="H89" i="2"/>
  <c r="I89" i="2" s="1"/>
  <c r="J89" i="2" s="1"/>
  <c r="K31" i="2"/>
  <c r="L31" i="2" s="1"/>
  <c r="J39" i="2"/>
  <c r="K39" i="2" s="1"/>
  <c r="J21" i="2"/>
  <c r="F45" i="2"/>
  <c r="F61" i="2"/>
  <c r="F81" i="2"/>
  <c r="G92" i="2"/>
  <c r="O92" i="2" s="1"/>
  <c r="I18" i="2"/>
  <c r="J18" i="2" s="1"/>
  <c r="J33" i="2"/>
  <c r="K33" i="2" s="1"/>
  <c r="F44" i="2"/>
  <c r="F48" i="2"/>
  <c r="F52" i="2"/>
  <c r="F60" i="2"/>
  <c r="F64" i="2"/>
  <c r="F68" i="2"/>
  <c r="F76" i="2"/>
  <c r="F80" i="2"/>
  <c r="F84" i="2"/>
  <c r="F91" i="2"/>
  <c r="G94" i="2"/>
  <c r="F94" i="2"/>
  <c r="J34" i="2"/>
  <c r="K34" i="2" s="1"/>
  <c r="D38" i="2"/>
  <c r="G38" i="2" s="1"/>
  <c r="H38" i="2" s="1"/>
  <c r="D37" i="2"/>
  <c r="G37" i="2" s="1"/>
  <c r="H37" i="2" s="1"/>
  <c r="L38" i="2"/>
  <c r="O81" i="2"/>
  <c r="D15" i="2"/>
  <c r="F15" i="2" s="1"/>
  <c r="G15" i="2" s="1"/>
  <c r="D18" i="2"/>
  <c r="F18" i="2" s="1"/>
  <c r="G18" i="2" s="1"/>
  <c r="D21" i="2"/>
  <c r="F21" i="2" s="1"/>
  <c r="G21" i="2" s="1"/>
  <c r="D29" i="2"/>
  <c r="D35" i="2"/>
  <c r="I78" i="2" l="1"/>
  <c r="J78" i="2" s="1"/>
  <c r="I77" i="2"/>
  <c r="J77" i="2" s="1"/>
  <c r="I54" i="2"/>
  <c r="J54" i="2" s="1"/>
  <c r="I49" i="2"/>
  <c r="J49" i="2" s="1"/>
  <c r="I80" i="2"/>
  <c r="J80" i="2" s="1"/>
  <c r="G29" i="2"/>
  <c r="H29" i="2" s="1"/>
  <c r="I84" i="2"/>
  <c r="J84" i="2" s="1"/>
  <c r="G33" i="2"/>
  <c r="H33" i="2" s="1"/>
  <c r="I64" i="2"/>
  <c r="J64" i="2" s="1"/>
  <c r="I74" i="2"/>
  <c r="J74" i="2" s="1"/>
  <c r="I46" i="2"/>
  <c r="J46" i="2" s="1"/>
  <c r="L29" i="2"/>
  <c r="I47" i="2"/>
  <c r="J47" i="2" s="1"/>
  <c r="G35" i="2"/>
  <c r="H35" i="2" s="1"/>
  <c r="I65" i="2"/>
  <c r="J65" i="2" s="1"/>
  <c r="I76" i="2"/>
  <c r="J76" i="2" s="1"/>
  <c r="G36" i="2"/>
  <c r="H36" i="2" s="1"/>
  <c r="L34" i="2"/>
  <c r="G30" i="2"/>
  <c r="H30" i="2" s="1"/>
  <c r="I60" i="2"/>
  <c r="J60" i="2" s="1"/>
  <c r="I66" i="2"/>
  <c r="J66" i="2" s="1"/>
  <c r="I63" i="2"/>
  <c r="J63" i="2" s="1"/>
  <c r="I69" i="2"/>
  <c r="J69" i="2" s="1"/>
  <c r="I51" i="2"/>
  <c r="J51" i="2" s="1"/>
  <c r="I82" i="2"/>
  <c r="J82" i="2" s="1"/>
  <c r="I68" i="2"/>
  <c r="J68" i="2" s="1"/>
  <c r="I50" i="2"/>
  <c r="J50" i="2" s="1"/>
  <c r="I52" i="2"/>
  <c r="J52" i="2" s="1"/>
  <c r="I92" i="2"/>
  <c r="J92" i="2" s="1"/>
  <c r="I62" i="2"/>
  <c r="J62" i="2" s="1"/>
  <c r="I48" i="2"/>
  <c r="J48" i="2" s="1"/>
  <c r="I44" i="2"/>
  <c r="J44" i="2" s="1"/>
  <c r="O67" i="2"/>
  <c r="O84" i="2"/>
  <c r="I75" i="2"/>
  <c r="J75" i="2" s="1"/>
  <c r="O69" i="2"/>
  <c r="I96" i="2"/>
  <c r="J96" i="2" s="1"/>
  <c r="M96" i="2"/>
  <c r="N96" i="2" s="1"/>
  <c r="I95" i="2"/>
  <c r="J95" i="2" s="1"/>
  <c r="M95" i="2"/>
  <c r="N95" i="2" s="1"/>
  <c r="O63" i="2"/>
  <c r="O82" i="2"/>
  <c r="O62" i="2"/>
  <c r="L33" i="2"/>
  <c r="O80" i="2"/>
  <c r="O48" i="2"/>
  <c r="O45" i="2"/>
  <c r="O89" i="2"/>
  <c r="G32" i="2"/>
  <c r="H32" i="2" s="1"/>
  <c r="M97" i="2"/>
  <c r="N97" i="2" s="1"/>
  <c r="I97" i="2"/>
  <c r="J97" i="2" s="1"/>
  <c r="M91" i="2"/>
  <c r="N91" i="2" s="1"/>
  <c r="I91" i="2"/>
  <c r="J91" i="2" s="1"/>
  <c r="O59" i="2"/>
  <c r="O79" i="2"/>
  <c r="O76" i="2"/>
  <c r="M90" i="2"/>
  <c r="N90" i="2" s="1"/>
  <c r="I90" i="2"/>
  <c r="J90" i="2" s="1"/>
  <c r="I67" i="2"/>
  <c r="J67" i="2" s="1"/>
  <c r="M99" i="2"/>
  <c r="N99" i="2" s="1"/>
  <c r="I99" i="2"/>
  <c r="J99" i="2" s="1"/>
  <c r="G31" i="2"/>
  <c r="H31" i="2" s="1"/>
  <c r="I79" i="2"/>
  <c r="J79" i="2" s="1"/>
  <c r="L35" i="2"/>
  <c r="M94" i="2"/>
  <c r="N94" i="2" s="1"/>
  <c r="I94" i="2"/>
  <c r="J94" i="2" s="1"/>
  <c r="O83" i="2"/>
  <c r="I81" i="2"/>
  <c r="J81" i="2" s="1"/>
  <c r="O68" i="2"/>
  <c r="M93" i="2"/>
  <c r="N93" i="2" s="1"/>
  <c r="I93" i="2"/>
  <c r="J93" i="2" s="1"/>
  <c r="O77" i="2"/>
  <c r="O65" i="2"/>
  <c r="M98" i="2"/>
  <c r="N98" i="2" s="1"/>
  <c r="I98" i="2"/>
  <c r="J98" i="2" s="1"/>
  <c r="I61" i="2"/>
  <c r="J61" i="2" s="1"/>
  <c r="I45" i="2"/>
  <c r="J45" i="2" s="1"/>
  <c r="O74" i="2"/>
  <c r="O50" i="2"/>
  <c r="O64" i="2"/>
  <c r="G39" i="2"/>
  <c r="H39" i="2" s="1"/>
  <c r="L39" i="2"/>
  <c r="I83" i="2"/>
  <c r="J83" i="2" s="1"/>
  <c r="O53" i="2"/>
  <c r="O75" i="2" l="1"/>
  <c r="O91" i="2"/>
  <c r="O61" i="2"/>
  <c r="O44" i="2"/>
  <c r="O60" i="2"/>
  <c r="O49" i="2"/>
  <c r="O95" i="2"/>
  <c r="O47" i="2"/>
  <c r="O99" i="2"/>
  <c r="O97" i="2"/>
  <c r="O51" i="2"/>
  <c r="O96" i="2"/>
  <c r="O93" i="2"/>
  <c r="O90" i="2"/>
  <c r="O94" i="2"/>
  <c r="O98" i="2"/>
  <c r="O52" i="2"/>
</calcChain>
</file>

<file path=xl/sharedStrings.xml><?xml version="1.0" encoding="utf-8"?>
<sst xmlns="http://schemas.openxmlformats.org/spreadsheetml/2006/main" count="99" uniqueCount="29">
  <si>
    <t>Antibody screening age 2, 6, and 10 years</t>
  </si>
  <si>
    <t>Start population</t>
  </si>
  <si>
    <t>Number T1D by 18 y</t>
  </si>
  <si>
    <t>Tests age 2y</t>
  </si>
  <si>
    <t>Tests age 6y</t>
  </si>
  <si>
    <t>Tests age 10y</t>
  </si>
  <si>
    <t>Total tests</t>
  </si>
  <si>
    <t>Detection in pre-stage at 2y</t>
  </si>
  <si>
    <t>Detection in pre-stage at 6y</t>
  </si>
  <si>
    <t>Detection in pre-stage at 10y</t>
  </si>
  <si>
    <t>Total detected; n</t>
  </si>
  <si>
    <t>Total detected; %</t>
  </si>
  <si>
    <t>Recall rates</t>
  </si>
  <si>
    <t>T1D included for antibody tests</t>
  </si>
  <si>
    <t>Genetic test</t>
  </si>
  <si>
    <t>T1D included for antibody tests 2y</t>
  </si>
  <si>
    <t>Antibody screening age 2 and 6 years</t>
  </si>
  <si>
    <t>Antibody screening age 3 years</t>
  </si>
  <si>
    <t>Detection in pre-stage at 3y</t>
  </si>
  <si>
    <t>Tests age 3y</t>
  </si>
  <si>
    <t xml:space="preserve">Total selected for antibody tests </t>
  </si>
  <si>
    <t>Total selected for antibody tests age 6, 10y</t>
  </si>
  <si>
    <t xml:space="preserve">Supplemental Table for Bonifacio et al, The efficacy of islet autoantibody screening with or without genetic pre-screening strategies for the identification of presymptomatic type 1 diabetes </t>
  </si>
  <si>
    <t>T1D, type 1 diabetes</t>
  </si>
  <si>
    <t>ESM Table 1. Calculations and formulas for estimating the numbers of future type 1 diabetes cases identified in the presymptomatic phase by islet autoantibody screening or genetic selection plus islet autoantibody screening according to recall participation rates.</t>
  </si>
  <si>
    <t>Genetic screening strategy D: Genetic screening and antibody testing at age 2 years and selection of individuals with DR3/DR4-DQ8, DR4-DQ8/DR4-DQ8 or a first-degree relative with T1D for antibody testing at age 6 and 10 years</t>
  </si>
  <si>
    <t xml:space="preserve">Genetic prescreening strategy A: Genetic screening, antibody testing at age 2, 6, and 10 years of individuals with HLA DR4-DQ8, DR3, or a first-degree relative with T1D </t>
  </si>
  <si>
    <t>Genetic prescreening strategy B: Genetic screening, antibody testing at age 2, 6, and 10 years of individuals with a GRS2 &gt;80th centile at age 2, 6, and 10 years</t>
  </si>
  <si>
    <t>Genetic prescreening strategy C: Genetic screening, antibody testing at age 2, 6, and 10 years of individuals with DR3/DR4-DQ8, DR4-DQ8/DR4-DQ8 or a first-degree relative with T1D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</si>
</sst>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2" fillId="2" borderId="0" xfId="0" applyFont="1" applyFill="1"/>
    <xf numFmtId="0" fontId="0" fillId="3" borderId="0" xfId="0" applyFill="1"/>
    <xf numFmtId="0" fontId="2" fillId="4" borderId="0" xfId="0" applyFont="1" applyFill="1"/>
    <xf numFmtId="0" fontId="2" fillId="5" borderId="0" xfId="0" applyFont="1" applyFill="1"/>
    <xf numFmtId="0" fontId="0" fillId="6" borderId="0" xfId="0" applyFill="1"/>
    <xf numFmtId="164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1710B-4E8C-0241-AC06-BD929C3A7697}">
  <sheetPr>
    <pageSetUpPr fitToPage="1"/>
  </sheetPr>
  <dimension ref="A1:O101"/>
  <sheetViews>
    <sheetView tabSelected="1" topLeftCell="B51" workbookViewId="0">
      <selection activeCell="H64" sqref="H64"/>
    </sheetView>
  </sheetViews>
  <sheetFormatPr baseColWidth="10" defaultRowHeight="16" x14ac:dyDescent="0.2"/>
  <cols>
    <col min="2" max="2" width="15.5" customWidth="1"/>
    <col min="3" max="3" width="17.5" customWidth="1"/>
    <col min="4" max="4" width="27.1640625" customWidth="1"/>
    <col min="5" max="5" width="36.5" customWidth="1"/>
    <col min="6" max="6" width="25.6640625" customWidth="1"/>
    <col min="7" max="7" width="24.83203125" customWidth="1"/>
    <col min="8" max="8" width="25" customWidth="1"/>
    <col min="9" max="9" width="15.83203125" customWidth="1"/>
    <col min="10" max="10" width="17" customWidth="1"/>
    <col min="11" max="11" width="13.6640625" customWidth="1"/>
    <col min="12" max="12" width="13.5" customWidth="1"/>
  </cols>
  <sheetData>
    <row r="1" spans="1:10" s="13" customFormat="1" ht="24" x14ac:dyDescent="0.3">
      <c r="A1" s="13" t="s">
        <v>22</v>
      </c>
    </row>
    <row r="3" spans="1:10" s="14" customFormat="1" ht="20" x14ac:dyDescent="0.25">
      <c r="A3" s="14" t="s">
        <v>24</v>
      </c>
    </row>
    <row r="5" spans="1:10" s="7" customFormat="1" x14ac:dyDescent="0.2">
      <c r="A5" s="7" t="s">
        <v>17</v>
      </c>
    </row>
    <row r="7" spans="1:10" x14ac:dyDescent="0.2">
      <c r="A7" s="2"/>
      <c r="B7" s="2" t="s">
        <v>1</v>
      </c>
      <c r="C7" s="2" t="s">
        <v>2</v>
      </c>
      <c r="D7" s="2" t="s">
        <v>18</v>
      </c>
      <c r="E7" s="2" t="s">
        <v>10</v>
      </c>
      <c r="F7" s="11" t="s">
        <v>11</v>
      </c>
      <c r="G7" s="2" t="s">
        <v>19</v>
      </c>
      <c r="H7" s="2" t="s">
        <v>6</v>
      </c>
    </row>
    <row r="8" spans="1:10" x14ac:dyDescent="0.2">
      <c r="A8" s="3"/>
      <c r="B8" s="4">
        <v>100000</v>
      </c>
      <c r="C8" s="4">
        <f>0.004*B8</f>
        <v>400</v>
      </c>
      <c r="D8" s="4">
        <f>0.35*C8</f>
        <v>140</v>
      </c>
      <c r="E8" s="4">
        <f>D8</f>
        <v>140</v>
      </c>
      <c r="F8" s="12">
        <f>E8/C8*100</f>
        <v>35</v>
      </c>
      <c r="G8" s="4">
        <f>B8</f>
        <v>100000</v>
      </c>
      <c r="H8" s="4">
        <f>G8</f>
        <v>100000</v>
      </c>
    </row>
    <row r="10" spans="1:10" s="7" customFormat="1" x14ac:dyDescent="0.2">
      <c r="A10" s="7" t="s">
        <v>16</v>
      </c>
    </row>
    <row r="12" spans="1:10" x14ac:dyDescent="0.2">
      <c r="A12" s="2" t="s">
        <v>12</v>
      </c>
      <c r="B12" s="2" t="s">
        <v>1</v>
      </c>
      <c r="C12" s="2" t="s">
        <v>2</v>
      </c>
      <c r="D12" s="2" t="s">
        <v>7</v>
      </c>
      <c r="E12" s="2" t="s">
        <v>8</v>
      </c>
      <c r="F12" s="2" t="s">
        <v>10</v>
      </c>
      <c r="G12" s="11" t="s">
        <v>11</v>
      </c>
      <c r="H12" s="2" t="s">
        <v>3</v>
      </c>
      <c r="I12" s="2" t="s">
        <v>4</v>
      </c>
      <c r="J12" s="2" t="s">
        <v>6</v>
      </c>
    </row>
    <row r="13" spans="1:10" x14ac:dyDescent="0.2">
      <c r="A13" s="3">
        <v>1</v>
      </c>
      <c r="B13" s="4">
        <v>100000</v>
      </c>
      <c r="C13" s="4">
        <f>0.004*B13</f>
        <v>400</v>
      </c>
      <c r="D13" s="4">
        <f>0.35*C13</f>
        <v>140</v>
      </c>
      <c r="E13" s="4">
        <f>0.3*C13*1</f>
        <v>120</v>
      </c>
      <c r="F13" s="4">
        <f>D13+E13</f>
        <v>260</v>
      </c>
      <c r="G13" s="12">
        <f t="shared" ref="G13:G23" si="0">F13/C13*100</f>
        <v>65</v>
      </c>
      <c r="H13" s="4">
        <f>B13</f>
        <v>100000</v>
      </c>
      <c r="I13" s="4">
        <f>(B13-0.002*H13)*1</f>
        <v>99800</v>
      </c>
      <c r="J13" s="4">
        <f>H13+I13</f>
        <v>199800</v>
      </c>
    </row>
    <row r="14" spans="1:10" x14ac:dyDescent="0.2">
      <c r="A14" s="3">
        <v>0.9</v>
      </c>
      <c r="B14" s="4">
        <v>100000</v>
      </c>
      <c r="C14" s="4">
        <f t="shared" ref="C14:C23" si="1">0.004*B14</f>
        <v>400</v>
      </c>
      <c r="D14" s="4">
        <f t="shared" ref="D14:D23" si="2">0.35*C14</f>
        <v>140</v>
      </c>
      <c r="E14" s="4">
        <f>0.3*C14*0.9</f>
        <v>108</v>
      </c>
      <c r="F14" s="4">
        <f t="shared" ref="F14:F23" si="3">D14+E14</f>
        <v>248</v>
      </c>
      <c r="G14" s="12">
        <f t="shared" si="0"/>
        <v>62</v>
      </c>
      <c r="H14" s="4">
        <f t="shared" ref="H14:H23" si="4">B14</f>
        <v>100000</v>
      </c>
      <c r="I14" s="4">
        <f>(B14-0.002*H14)*0.9</f>
        <v>89820</v>
      </c>
      <c r="J14" s="4">
        <f t="shared" ref="J14:J23" si="5">H14+I14</f>
        <v>189820</v>
      </c>
    </row>
    <row r="15" spans="1:10" x14ac:dyDescent="0.2">
      <c r="A15" s="3">
        <v>0.8</v>
      </c>
      <c r="B15" s="4">
        <v>100000</v>
      </c>
      <c r="C15" s="4">
        <f t="shared" si="1"/>
        <v>400</v>
      </c>
      <c r="D15" s="4">
        <f t="shared" si="2"/>
        <v>140</v>
      </c>
      <c r="E15" s="4">
        <f>0.3*C15*0.8</f>
        <v>96</v>
      </c>
      <c r="F15" s="4">
        <f t="shared" si="3"/>
        <v>236</v>
      </c>
      <c r="G15" s="12">
        <f t="shared" si="0"/>
        <v>59</v>
      </c>
      <c r="H15" s="4">
        <f t="shared" si="4"/>
        <v>100000</v>
      </c>
      <c r="I15" s="4">
        <f>(B15-0.002*H15)*0.8</f>
        <v>79840</v>
      </c>
      <c r="J15" s="4">
        <f t="shared" si="5"/>
        <v>179840</v>
      </c>
    </row>
    <row r="16" spans="1:10" x14ac:dyDescent="0.2">
      <c r="A16" s="3">
        <v>0.7</v>
      </c>
      <c r="B16" s="4">
        <v>100000</v>
      </c>
      <c r="C16" s="4">
        <f t="shared" si="1"/>
        <v>400</v>
      </c>
      <c r="D16" s="4">
        <f t="shared" si="2"/>
        <v>140</v>
      </c>
      <c r="E16" s="4">
        <f>0.3*C16*0.7</f>
        <v>84</v>
      </c>
      <c r="F16" s="4">
        <f t="shared" si="3"/>
        <v>224</v>
      </c>
      <c r="G16" s="12">
        <f t="shared" si="0"/>
        <v>56.000000000000007</v>
      </c>
      <c r="H16" s="4">
        <f t="shared" si="4"/>
        <v>100000</v>
      </c>
      <c r="I16" s="4">
        <f>(B16-0.002*H16)*0.7</f>
        <v>69860</v>
      </c>
      <c r="J16" s="4">
        <f t="shared" si="5"/>
        <v>169860</v>
      </c>
    </row>
    <row r="17" spans="1:12" x14ac:dyDescent="0.2">
      <c r="A17" s="3">
        <v>0.6</v>
      </c>
      <c r="B17" s="4">
        <v>100000</v>
      </c>
      <c r="C17" s="4">
        <f t="shared" si="1"/>
        <v>400</v>
      </c>
      <c r="D17" s="4">
        <f t="shared" si="2"/>
        <v>140</v>
      </c>
      <c r="E17" s="4">
        <f>0.3*C17*0.6</f>
        <v>72</v>
      </c>
      <c r="F17" s="4">
        <f t="shared" si="3"/>
        <v>212</v>
      </c>
      <c r="G17" s="12">
        <f t="shared" si="0"/>
        <v>53</v>
      </c>
      <c r="H17" s="4">
        <f t="shared" si="4"/>
        <v>100000</v>
      </c>
      <c r="I17" s="4">
        <f>(B17-0.002*H17)*0.6</f>
        <v>59880</v>
      </c>
      <c r="J17" s="4">
        <f t="shared" si="5"/>
        <v>159880</v>
      </c>
    </row>
    <row r="18" spans="1:12" x14ac:dyDescent="0.2">
      <c r="A18" s="3">
        <v>0.5</v>
      </c>
      <c r="B18" s="4">
        <v>100000</v>
      </c>
      <c r="C18" s="4">
        <f t="shared" si="1"/>
        <v>400</v>
      </c>
      <c r="D18" s="4">
        <f t="shared" si="2"/>
        <v>140</v>
      </c>
      <c r="E18" s="4">
        <f>0.3*C18*0.5</f>
        <v>60</v>
      </c>
      <c r="F18" s="4">
        <f t="shared" si="3"/>
        <v>200</v>
      </c>
      <c r="G18" s="12">
        <f t="shared" si="0"/>
        <v>50</v>
      </c>
      <c r="H18" s="4">
        <f t="shared" si="4"/>
        <v>100000</v>
      </c>
      <c r="I18" s="4">
        <f>(B18-0.002*H18)*0.5</f>
        <v>49900</v>
      </c>
      <c r="J18" s="4">
        <f t="shared" si="5"/>
        <v>149900</v>
      </c>
    </row>
    <row r="19" spans="1:12" x14ac:dyDescent="0.2">
      <c r="A19" s="3">
        <v>0.4</v>
      </c>
      <c r="B19" s="4">
        <v>100000</v>
      </c>
      <c r="C19" s="4">
        <f t="shared" si="1"/>
        <v>400</v>
      </c>
      <c r="D19" s="4">
        <f t="shared" si="2"/>
        <v>140</v>
      </c>
      <c r="E19" s="4">
        <f>0.3*C19*0.4</f>
        <v>48</v>
      </c>
      <c r="F19" s="4">
        <f t="shared" si="3"/>
        <v>188</v>
      </c>
      <c r="G19" s="12">
        <f t="shared" si="0"/>
        <v>47</v>
      </c>
      <c r="H19" s="4">
        <f t="shared" si="4"/>
        <v>100000</v>
      </c>
      <c r="I19" s="4">
        <f>(B19-0.002*H19)*0.4</f>
        <v>39920</v>
      </c>
      <c r="J19" s="4">
        <f t="shared" si="5"/>
        <v>139920</v>
      </c>
    </row>
    <row r="20" spans="1:12" x14ac:dyDescent="0.2">
      <c r="A20" s="3">
        <v>0.3</v>
      </c>
      <c r="B20" s="4">
        <v>100000</v>
      </c>
      <c r="C20" s="4">
        <f t="shared" si="1"/>
        <v>400</v>
      </c>
      <c r="D20" s="4">
        <f t="shared" si="2"/>
        <v>140</v>
      </c>
      <c r="E20" s="4">
        <f>0.3*C20*0.3</f>
        <v>36</v>
      </c>
      <c r="F20" s="4">
        <f t="shared" si="3"/>
        <v>176</v>
      </c>
      <c r="G20" s="12">
        <f t="shared" si="0"/>
        <v>44</v>
      </c>
      <c r="H20" s="4">
        <f t="shared" si="4"/>
        <v>100000</v>
      </c>
      <c r="I20" s="4">
        <f>(B20-0.002*H20)*0.3</f>
        <v>29940</v>
      </c>
      <c r="J20" s="4">
        <f t="shared" si="5"/>
        <v>129940</v>
      </c>
    </row>
    <row r="21" spans="1:12" x14ac:dyDescent="0.2">
      <c r="A21" s="3">
        <v>0.2</v>
      </c>
      <c r="B21" s="4">
        <v>100000</v>
      </c>
      <c r="C21" s="4">
        <f t="shared" si="1"/>
        <v>400</v>
      </c>
      <c r="D21" s="4">
        <f t="shared" si="2"/>
        <v>140</v>
      </c>
      <c r="E21" s="4">
        <f>0.3*C21*0.2</f>
        <v>24</v>
      </c>
      <c r="F21" s="4">
        <f t="shared" si="3"/>
        <v>164</v>
      </c>
      <c r="G21" s="12">
        <f t="shared" si="0"/>
        <v>41</v>
      </c>
      <c r="H21" s="4">
        <f t="shared" si="4"/>
        <v>100000</v>
      </c>
      <c r="I21" s="4">
        <f>(B21-0.002*H21)*0.3</f>
        <v>29940</v>
      </c>
      <c r="J21" s="4">
        <f t="shared" si="5"/>
        <v>129940</v>
      </c>
    </row>
    <row r="22" spans="1:12" x14ac:dyDescent="0.2">
      <c r="A22" s="3">
        <v>0.1</v>
      </c>
      <c r="B22" s="4">
        <v>100000</v>
      </c>
      <c r="C22" s="4">
        <f t="shared" si="1"/>
        <v>400</v>
      </c>
      <c r="D22" s="4">
        <f t="shared" si="2"/>
        <v>140</v>
      </c>
      <c r="E22" s="4">
        <f>0.3*C22*0.1</f>
        <v>12</v>
      </c>
      <c r="F22" s="4">
        <f t="shared" si="3"/>
        <v>152</v>
      </c>
      <c r="G22" s="12">
        <f t="shared" si="0"/>
        <v>38</v>
      </c>
      <c r="H22" s="4">
        <f t="shared" si="4"/>
        <v>100000</v>
      </c>
      <c r="I22" s="4">
        <f>(B22-0.002*H22)*0.1</f>
        <v>9980</v>
      </c>
      <c r="J22" s="4">
        <f t="shared" si="5"/>
        <v>109980</v>
      </c>
    </row>
    <row r="23" spans="1:12" x14ac:dyDescent="0.2">
      <c r="A23" s="3">
        <v>0</v>
      </c>
      <c r="B23" s="4">
        <v>100000</v>
      </c>
      <c r="C23" s="4">
        <f t="shared" si="1"/>
        <v>400</v>
      </c>
      <c r="D23" s="4">
        <f t="shared" si="2"/>
        <v>140</v>
      </c>
      <c r="E23" s="4">
        <f>0.3*C23*0</f>
        <v>0</v>
      </c>
      <c r="F23" s="4">
        <f t="shared" si="3"/>
        <v>140</v>
      </c>
      <c r="G23" s="12">
        <f t="shared" si="0"/>
        <v>35</v>
      </c>
      <c r="H23" s="4">
        <f t="shared" si="4"/>
        <v>100000</v>
      </c>
      <c r="I23" s="4">
        <f>(B23-0.002*H23)*0</f>
        <v>0</v>
      </c>
      <c r="J23" s="4">
        <f t="shared" si="5"/>
        <v>100000</v>
      </c>
    </row>
    <row r="26" spans="1:12" s="7" customFormat="1" x14ac:dyDescent="0.2">
      <c r="A26" s="7" t="s">
        <v>0</v>
      </c>
    </row>
    <row r="28" spans="1:12" x14ac:dyDescent="0.2">
      <c r="A28" s="2" t="s">
        <v>12</v>
      </c>
      <c r="B28" s="2" t="s">
        <v>1</v>
      </c>
      <c r="C28" s="2" t="s">
        <v>2</v>
      </c>
      <c r="D28" s="2" t="s">
        <v>7</v>
      </c>
      <c r="E28" s="2" t="s">
        <v>8</v>
      </c>
      <c r="F28" s="2" t="s">
        <v>9</v>
      </c>
      <c r="G28" s="2" t="s">
        <v>10</v>
      </c>
      <c r="H28" s="11" t="s">
        <v>11</v>
      </c>
      <c r="I28" s="2" t="s">
        <v>3</v>
      </c>
      <c r="J28" s="2" t="s">
        <v>4</v>
      </c>
      <c r="K28" s="2" t="s">
        <v>5</v>
      </c>
      <c r="L28" s="2" t="s">
        <v>6</v>
      </c>
    </row>
    <row r="29" spans="1:12" x14ac:dyDescent="0.2">
      <c r="A29" s="3">
        <v>1</v>
      </c>
      <c r="B29" s="4">
        <v>100000</v>
      </c>
      <c r="C29" s="4">
        <f>0.004*B29</f>
        <v>400</v>
      </c>
      <c r="D29" s="4">
        <f>0.35*C29</f>
        <v>140</v>
      </c>
      <c r="E29" s="4">
        <f>0.3*C29*1</f>
        <v>120</v>
      </c>
      <c r="F29" s="4">
        <f>0.15*C29*1</f>
        <v>60</v>
      </c>
      <c r="G29" s="4">
        <f>D29+E29+F29</f>
        <v>320</v>
      </c>
      <c r="H29" s="12">
        <f>G29/C29*100</f>
        <v>80</v>
      </c>
      <c r="I29" s="4">
        <f>B29</f>
        <v>100000</v>
      </c>
      <c r="J29" s="4">
        <f>(I29-0.002*I29)*1</f>
        <v>99800</v>
      </c>
      <c r="K29" s="4">
        <f>(J29-0.002*I29)*1</f>
        <v>99600</v>
      </c>
      <c r="L29" s="4">
        <f>I29+J29+K29</f>
        <v>299400</v>
      </c>
    </row>
    <row r="30" spans="1:12" x14ac:dyDescent="0.2">
      <c r="A30" s="3">
        <v>0.9</v>
      </c>
      <c r="B30" s="4">
        <v>100000</v>
      </c>
      <c r="C30" s="4">
        <f t="shared" ref="C30:C39" si="6">0.004*B30</f>
        <v>400</v>
      </c>
      <c r="D30" s="4">
        <f t="shared" ref="D30:D39" si="7">0.35*C30</f>
        <v>140</v>
      </c>
      <c r="E30" s="4">
        <f>0.3*C30*0.9</f>
        <v>108</v>
      </c>
      <c r="F30" s="4">
        <f>0.15*C30*0.9*0.9</f>
        <v>48.6</v>
      </c>
      <c r="G30" s="4">
        <f t="shared" ref="G30:G39" si="8">D30+E30+F30</f>
        <v>296.60000000000002</v>
      </c>
      <c r="H30" s="12">
        <f t="shared" ref="H30:H39" si="9">G30/C30*100</f>
        <v>74.150000000000006</v>
      </c>
      <c r="I30" s="4">
        <f t="shared" ref="I30:I39" si="10">B30</f>
        <v>100000</v>
      </c>
      <c r="J30" s="4">
        <f>(I30-0.002*I30)*0.9</f>
        <v>89820</v>
      </c>
      <c r="K30" s="4">
        <f>(J30-0.002*I30)*0.9</f>
        <v>80658</v>
      </c>
      <c r="L30" s="4">
        <f t="shared" ref="L30:L39" si="11">I30+J30+K30</f>
        <v>270478</v>
      </c>
    </row>
    <row r="31" spans="1:12" x14ac:dyDescent="0.2">
      <c r="A31" s="3">
        <v>0.8</v>
      </c>
      <c r="B31" s="4">
        <v>100000</v>
      </c>
      <c r="C31" s="4">
        <f t="shared" si="6"/>
        <v>400</v>
      </c>
      <c r="D31" s="4">
        <f t="shared" si="7"/>
        <v>140</v>
      </c>
      <c r="E31" s="4">
        <f>0.3*C31*0.8</f>
        <v>96</v>
      </c>
      <c r="F31" s="4">
        <f>0.15*C31*0.8*0.8</f>
        <v>38.400000000000006</v>
      </c>
      <c r="G31" s="4">
        <f t="shared" si="8"/>
        <v>274.39999999999998</v>
      </c>
      <c r="H31" s="12">
        <f t="shared" si="9"/>
        <v>68.599999999999994</v>
      </c>
      <c r="I31" s="4">
        <f t="shared" si="10"/>
        <v>100000</v>
      </c>
      <c r="J31" s="4">
        <f>(I31-0.002*I31)*0.8</f>
        <v>79840</v>
      </c>
      <c r="K31" s="4">
        <f>(J31-0.002*I31)*0.8</f>
        <v>63712</v>
      </c>
      <c r="L31" s="4">
        <f t="shared" si="11"/>
        <v>243552</v>
      </c>
    </row>
    <row r="32" spans="1:12" x14ac:dyDescent="0.2">
      <c r="A32" s="3">
        <v>0.7</v>
      </c>
      <c r="B32" s="4">
        <v>100000</v>
      </c>
      <c r="C32" s="4">
        <f t="shared" si="6"/>
        <v>400</v>
      </c>
      <c r="D32" s="4">
        <f t="shared" si="7"/>
        <v>140</v>
      </c>
      <c r="E32" s="4">
        <f>0.3*C32*0.7</f>
        <v>84</v>
      </c>
      <c r="F32" s="4">
        <f>0.15*C32*0.7*0.7</f>
        <v>29.4</v>
      </c>
      <c r="G32" s="4">
        <f t="shared" si="8"/>
        <v>253.4</v>
      </c>
      <c r="H32" s="12">
        <f t="shared" si="9"/>
        <v>63.350000000000009</v>
      </c>
      <c r="I32" s="4">
        <f t="shared" si="10"/>
        <v>100000</v>
      </c>
      <c r="J32" s="4">
        <f>(I32-0.002*I32)*0.7</f>
        <v>69860</v>
      </c>
      <c r="K32" s="4">
        <f>(J32-0.002*I32)*0.7</f>
        <v>48762</v>
      </c>
      <c r="L32" s="4">
        <f t="shared" si="11"/>
        <v>218622</v>
      </c>
    </row>
    <row r="33" spans="1:15" x14ac:dyDescent="0.2">
      <c r="A33" s="3">
        <v>0.6</v>
      </c>
      <c r="B33" s="4">
        <v>100000</v>
      </c>
      <c r="C33" s="4">
        <f t="shared" si="6"/>
        <v>400</v>
      </c>
      <c r="D33" s="4">
        <f t="shared" si="7"/>
        <v>140</v>
      </c>
      <c r="E33" s="4">
        <f>0.3*C33*0.6</f>
        <v>72</v>
      </c>
      <c r="F33" s="4">
        <f>0.15*C33*0.6*0.6</f>
        <v>21.599999999999998</v>
      </c>
      <c r="G33" s="4">
        <f t="shared" si="8"/>
        <v>233.6</v>
      </c>
      <c r="H33" s="12">
        <f t="shared" si="9"/>
        <v>58.4</v>
      </c>
      <c r="I33" s="4">
        <f t="shared" si="10"/>
        <v>100000</v>
      </c>
      <c r="J33" s="4">
        <f>(I33-0.002*I33)*0.6</f>
        <v>59880</v>
      </c>
      <c r="K33" s="4">
        <f>(J33-0.002*I33)*0.6</f>
        <v>35808</v>
      </c>
      <c r="L33" s="4">
        <f t="shared" si="11"/>
        <v>195688</v>
      </c>
    </row>
    <row r="34" spans="1:15" x14ac:dyDescent="0.2">
      <c r="A34" s="3">
        <v>0.5</v>
      </c>
      <c r="B34" s="4">
        <v>100000</v>
      </c>
      <c r="C34" s="4">
        <f t="shared" si="6"/>
        <v>400</v>
      </c>
      <c r="D34" s="4">
        <f t="shared" si="7"/>
        <v>140</v>
      </c>
      <c r="E34" s="4">
        <f>0.3*C34*0.5</f>
        <v>60</v>
      </c>
      <c r="F34" s="4">
        <f>0.15*C34*0.5*0.5</f>
        <v>15</v>
      </c>
      <c r="G34" s="4">
        <f t="shared" si="8"/>
        <v>215</v>
      </c>
      <c r="H34" s="12">
        <f t="shared" si="9"/>
        <v>53.75</v>
      </c>
      <c r="I34" s="4">
        <f t="shared" si="10"/>
        <v>100000</v>
      </c>
      <c r="J34" s="4">
        <f>(I34-0.002*I34)*0.5</f>
        <v>49900</v>
      </c>
      <c r="K34" s="4">
        <f>(J34-0.002*I34)*0.5</f>
        <v>24850</v>
      </c>
      <c r="L34" s="4">
        <f t="shared" si="11"/>
        <v>174750</v>
      </c>
    </row>
    <row r="35" spans="1:15" x14ac:dyDescent="0.2">
      <c r="A35" s="3">
        <v>0.4</v>
      </c>
      <c r="B35" s="4">
        <v>100000</v>
      </c>
      <c r="C35" s="4">
        <f t="shared" si="6"/>
        <v>400</v>
      </c>
      <c r="D35" s="4">
        <f t="shared" si="7"/>
        <v>140</v>
      </c>
      <c r="E35" s="4">
        <f>0.3*C35*0.4</f>
        <v>48</v>
      </c>
      <c r="F35" s="4">
        <f>0.15*C35*0.4*0.4</f>
        <v>9.6000000000000014</v>
      </c>
      <c r="G35" s="4">
        <f t="shared" si="8"/>
        <v>197.6</v>
      </c>
      <c r="H35" s="12">
        <f t="shared" si="9"/>
        <v>49.4</v>
      </c>
      <c r="I35" s="4">
        <f t="shared" si="10"/>
        <v>100000</v>
      </c>
      <c r="J35" s="4">
        <f>(I35-0.002*I35)*0.4</f>
        <v>39920</v>
      </c>
      <c r="K35" s="4">
        <f>(J35-0.002*I35)*0.4</f>
        <v>15888</v>
      </c>
      <c r="L35" s="4">
        <f t="shared" si="11"/>
        <v>155808</v>
      </c>
    </row>
    <row r="36" spans="1:15" x14ac:dyDescent="0.2">
      <c r="A36" s="3">
        <v>0.3</v>
      </c>
      <c r="B36" s="4">
        <v>100000</v>
      </c>
      <c r="C36" s="4">
        <f t="shared" si="6"/>
        <v>400</v>
      </c>
      <c r="D36" s="4">
        <f t="shared" si="7"/>
        <v>140</v>
      </c>
      <c r="E36" s="4">
        <f>0.3*C36*0.3</f>
        <v>36</v>
      </c>
      <c r="F36" s="4">
        <f>0.15*C36*0.3*0.3</f>
        <v>5.3999999999999995</v>
      </c>
      <c r="G36" s="4">
        <f t="shared" si="8"/>
        <v>181.4</v>
      </c>
      <c r="H36" s="12">
        <f t="shared" si="9"/>
        <v>45.35</v>
      </c>
      <c r="I36" s="4">
        <f t="shared" si="10"/>
        <v>100000</v>
      </c>
      <c r="J36" s="4">
        <f>(I36-0.002*I36)*0.3</f>
        <v>29940</v>
      </c>
      <c r="K36" s="4">
        <f>(J36-0.002*I36)*0.3</f>
        <v>8922</v>
      </c>
      <c r="L36" s="4">
        <f t="shared" si="11"/>
        <v>138862</v>
      </c>
    </row>
    <row r="37" spans="1:15" x14ac:dyDescent="0.2">
      <c r="A37" s="3">
        <v>0.2</v>
      </c>
      <c r="B37" s="4">
        <v>100000</v>
      </c>
      <c r="C37" s="4">
        <f t="shared" si="6"/>
        <v>400</v>
      </c>
      <c r="D37" s="4">
        <f t="shared" si="7"/>
        <v>140</v>
      </c>
      <c r="E37" s="4">
        <f>0.3*C37*0.2</f>
        <v>24</v>
      </c>
      <c r="F37" s="4">
        <f>0.15*C37*0.2*0.2</f>
        <v>2.4000000000000004</v>
      </c>
      <c r="G37" s="4">
        <f t="shared" si="8"/>
        <v>166.4</v>
      </c>
      <c r="H37" s="12">
        <f t="shared" si="9"/>
        <v>41.6</v>
      </c>
      <c r="I37" s="4">
        <f t="shared" si="10"/>
        <v>100000</v>
      </c>
      <c r="J37" s="4">
        <f>(I37-0.002*I37)*0.3</f>
        <v>29940</v>
      </c>
      <c r="K37" s="4">
        <f>(J37-0.002*I37)*0.2</f>
        <v>5948</v>
      </c>
      <c r="L37" s="4">
        <f t="shared" si="11"/>
        <v>135888</v>
      </c>
    </row>
    <row r="38" spans="1:15" x14ac:dyDescent="0.2">
      <c r="A38" s="3">
        <v>0.1</v>
      </c>
      <c r="B38" s="4">
        <v>100000</v>
      </c>
      <c r="C38" s="4">
        <f t="shared" si="6"/>
        <v>400</v>
      </c>
      <c r="D38" s="4">
        <f t="shared" si="7"/>
        <v>140</v>
      </c>
      <c r="E38" s="4">
        <f>0.3*C38*0.1</f>
        <v>12</v>
      </c>
      <c r="F38" s="4">
        <f>0.15*C38*0.1*0.1</f>
        <v>0.60000000000000009</v>
      </c>
      <c r="G38" s="4">
        <f t="shared" si="8"/>
        <v>152.6</v>
      </c>
      <c r="H38" s="12">
        <f t="shared" si="9"/>
        <v>38.15</v>
      </c>
      <c r="I38" s="4">
        <f t="shared" si="10"/>
        <v>100000</v>
      </c>
      <c r="J38" s="4">
        <f>(I38-0.002*I38)*0.1</f>
        <v>9980</v>
      </c>
      <c r="K38" s="4">
        <f>(J38-0.002*I38)*0.1</f>
        <v>978</v>
      </c>
      <c r="L38" s="4">
        <f t="shared" si="11"/>
        <v>110958</v>
      </c>
    </row>
    <row r="39" spans="1:15" x14ac:dyDescent="0.2">
      <c r="A39" s="3">
        <v>0</v>
      </c>
      <c r="B39" s="4">
        <v>100000</v>
      </c>
      <c r="C39" s="4">
        <f t="shared" si="6"/>
        <v>400</v>
      </c>
      <c r="D39" s="4">
        <f t="shared" si="7"/>
        <v>140</v>
      </c>
      <c r="E39" s="4">
        <f>0.3*C39*0</f>
        <v>0</v>
      </c>
      <c r="F39" s="4">
        <f>0.15*C39*0</f>
        <v>0</v>
      </c>
      <c r="G39" s="4">
        <f t="shared" si="8"/>
        <v>140</v>
      </c>
      <c r="H39" s="12">
        <f t="shared" si="9"/>
        <v>35</v>
      </c>
      <c r="I39" s="4">
        <f t="shared" si="10"/>
        <v>100000</v>
      </c>
      <c r="J39" s="4">
        <f>(I39-0.002*I39)*0</f>
        <v>0</v>
      </c>
      <c r="K39" s="4">
        <f>(J39-0.002*I39)*0</f>
        <v>0</v>
      </c>
      <c r="L39" s="4">
        <f t="shared" si="11"/>
        <v>100000</v>
      </c>
    </row>
    <row r="41" spans="1:15" s="5" customFormat="1" x14ac:dyDescent="0.2">
      <c r="A41" s="5" t="s">
        <v>26</v>
      </c>
    </row>
    <row r="43" spans="1:15" x14ac:dyDescent="0.2">
      <c r="A43" s="2" t="s">
        <v>12</v>
      </c>
      <c r="B43" s="2" t="s">
        <v>1</v>
      </c>
      <c r="C43" s="2" t="s">
        <v>2</v>
      </c>
      <c r="D43" s="2" t="s">
        <v>20</v>
      </c>
      <c r="E43" s="2" t="s">
        <v>13</v>
      </c>
      <c r="F43" s="2" t="s">
        <v>7</v>
      </c>
      <c r="G43" s="2" t="s">
        <v>8</v>
      </c>
      <c r="H43" s="2" t="s">
        <v>9</v>
      </c>
      <c r="I43" s="2" t="s">
        <v>10</v>
      </c>
      <c r="J43" s="11" t="s">
        <v>11</v>
      </c>
      <c r="K43" s="2" t="s">
        <v>14</v>
      </c>
      <c r="L43" s="2" t="s">
        <v>3</v>
      </c>
      <c r="M43" s="2" t="s">
        <v>4</v>
      </c>
      <c r="N43" s="2" t="s">
        <v>5</v>
      </c>
      <c r="O43" s="2" t="s">
        <v>6</v>
      </c>
    </row>
    <row r="44" spans="1:15" x14ac:dyDescent="0.2">
      <c r="A44" s="3">
        <v>1</v>
      </c>
      <c r="B44" s="4">
        <v>100000</v>
      </c>
      <c r="C44" s="4">
        <f>0.004*B44</f>
        <v>400</v>
      </c>
      <c r="D44">
        <f>0.33*B44</f>
        <v>33000</v>
      </c>
      <c r="E44">
        <f>0.9*C44*1</f>
        <v>360</v>
      </c>
      <c r="F44" s="1">
        <f>0.35*E44*1</f>
        <v>125.99999999999999</v>
      </c>
      <c r="G44" s="1">
        <f>0.3*E44*1</f>
        <v>108</v>
      </c>
      <c r="H44" s="1">
        <f>0.15*E44*1</f>
        <v>54</v>
      </c>
      <c r="I44" s="1">
        <f>F44+G44+H44</f>
        <v>288</v>
      </c>
      <c r="J44" s="10">
        <f>I44/C44*100</f>
        <v>72</v>
      </c>
      <c r="K44">
        <v>100000</v>
      </c>
      <c r="L44">
        <f>0.33*K44*1</f>
        <v>33000</v>
      </c>
      <c r="M44" s="4">
        <f>(L44-0.0045*L44)*1</f>
        <v>32851.5</v>
      </c>
      <c r="N44" s="4">
        <f>(M44-0.0045*M44)*1</f>
        <v>32703.668249999999</v>
      </c>
      <c r="O44" s="1">
        <f>K44+L44+M44+N44</f>
        <v>198555.16824999999</v>
      </c>
    </row>
    <row r="45" spans="1:15" x14ac:dyDescent="0.2">
      <c r="A45" s="3">
        <v>0.9</v>
      </c>
      <c r="B45" s="4">
        <v>100000</v>
      </c>
      <c r="C45" s="4">
        <f t="shared" ref="C45:C54" si="12">0.004*B45</f>
        <v>400</v>
      </c>
      <c r="D45">
        <f t="shared" ref="D45:D54" si="13">0.33*B45</f>
        <v>33000</v>
      </c>
      <c r="E45">
        <f>0.9*C45*0.9</f>
        <v>324</v>
      </c>
      <c r="F45" s="1">
        <f t="shared" ref="F45:F54" si="14">0.35*E45*1</f>
        <v>113.39999999999999</v>
      </c>
      <c r="G45" s="1">
        <f>0.3*E45*0.9</f>
        <v>87.48</v>
      </c>
      <c r="H45" s="1">
        <f>0.15*E45*0.9*0.9</f>
        <v>39.366</v>
      </c>
      <c r="I45" s="1">
        <f t="shared" ref="I45:I54" si="15">F45+G45+H45</f>
        <v>240.24599999999998</v>
      </c>
      <c r="J45" s="10">
        <f t="shared" ref="J45:J54" si="16">I45/C45*100</f>
        <v>60.061499999999988</v>
      </c>
      <c r="K45">
        <v>100000</v>
      </c>
      <c r="L45">
        <f>0.33*K45*0.9</f>
        <v>29700</v>
      </c>
      <c r="M45" s="4">
        <f>(L45-0.0045*L45)*0.9</f>
        <v>26609.715</v>
      </c>
      <c r="N45" s="4">
        <f>(M45-0.0045*M45)*0.9</f>
        <v>23840.974154249998</v>
      </c>
      <c r="O45" s="1">
        <f t="shared" ref="O45:O54" si="17">K45+L45+M45+N45</f>
        <v>180150.68915424999</v>
      </c>
    </row>
    <row r="46" spans="1:15" x14ac:dyDescent="0.2">
      <c r="A46" s="3">
        <v>0.8</v>
      </c>
      <c r="B46" s="4">
        <v>100000</v>
      </c>
      <c r="C46" s="4">
        <f t="shared" si="12"/>
        <v>400</v>
      </c>
      <c r="D46">
        <f t="shared" si="13"/>
        <v>33000</v>
      </c>
      <c r="E46">
        <f>0.9*C46*0.8</f>
        <v>288</v>
      </c>
      <c r="F46" s="1">
        <f t="shared" si="14"/>
        <v>100.8</v>
      </c>
      <c r="G46" s="1">
        <f>0.3*E46*0.8</f>
        <v>69.11999999999999</v>
      </c>
      <c r="H46" s="1">
        <f>0.15*E46*0.8*0.8</f>
        <v>27.647999999999996</v>
      </c>
      <c r="I46" s="1">
        <f t="shared" si="15"/>
        <v>197.56799999999998</v>
      </c>
      <c r="J46" s="10">
        <f t="shared" si="16"/>
        <v>49.391999999999996</v>
      </c>
      <c r="K46">
        <v>100000</v>
      </c>
      <c r="L46">
        <f>0.33*K46*0.8</f>
        <v>26400</v>
      </c>
      <c r="M46" s="4">
        <f>(L46-0.0045*L46)*0.8</f>
        <v>21024.960000000003</v>
      </c>
      <c r="N46" s="4">
        <f>(M46-0.0045*M46)*0.8</f>
        <v>16744.278144000004</v>
      </c>
      <c r="O46" s="1">
        <f t="shared" si="17"/>
        <v>164169.238144</v>
      </c>
    </row>
    <row r="47" spans="1:15" x14ac:dyDescent="0.2">
      <c r="A47" s="3">
        <v>0.7</v>
      </c>
      <c r="B47" s="4">
        <v>100000</v>
      </c>
      <c r="C47" s="4">
        <f t="shared" si="12"/>
        <v>400</v>
      </c>
      <c r="D47">
        <f t="shared" si="13"/>
        <v>33000</v>
      </c>
      <c r="E47">
        <f>0.9*C47*0.7</f>
        <v>251.99999999999997</v>
      </c>
      <c r="F47" s="1">
        <f t="shared" si="14"/>
        <v>88.199999999999989</v>
      </c>
      <c r="G47" s="1">
        <f>0.3*E47*0.7</f>
        <v>52.919999999999995</v>
      </c>
      <c r="H47" s="1">
        <f>0.15*E47*0.7*0.7</f>
        <v>18.521999999999998</v>
      </c>
      <c r="I47" s="1">
        <f t="shared" si="15"/>
        <v>159.64199999999997</v>
      </c>
      <c r="J47" s="10">
        <f t="shared" si="16"/>
        <v>39.910499999999992</v>
      </c>
      <c r="K47">
        <v>100000</v>
      </c>
      <c r="L47">
        <f>0.33*K47*0.7</f>
        <v>23100</v>
      </c>
      <c r="M47" s="4">
        <f>(L47-0.0045*L47)*0.7</f>
        <v>16097.234999999999</v>
      </c>
      <c r="N47" s="4">
        <f>(M47-0.0045*M47)*0.7</f>
        <v>11217.358209749998</v>
      </c>
      <c r="O47" s="1">
        <f t="shared" si="17"/>
        <v>150414.59320974999</v>
      </c>
    </row>
    <row r="48" spans="1:15" x14ac:dyDescent="0.2">
      <c r="A48" s="3">
        <v>0.6</v>
      </c>
      <c r="B48" s="4">
        <v>100000</v>
      </c>
      <c r="C48" s="4">
        <f t="shared" si="12"/>
        <v>400</v>
      </c>
      <c r="D48">
        <f t="shared" si="13"/>
        <v>33000</v>
      </c>
      <c r="E48">
        <f>0.9*C48*0.6</f>
        <v>216</v>
      </c>
      <c r="F48" s="1">
        <f t="shared" si="14"/>
        <v>75.599999999999994</v>
      </c>
      <c r="G48" s="1">
        <f>0.3*E48*0.6</f>
        <v>38.879999999999995</v>
      </c>
      <c r="H48" s="1">
        <f>0.15*E48*0.6*0.6</f>
        <v>11.663999999999998</v>
      </c>
      <c r="I48" s="1">
        <f t="shared" si="15"/>
        <v>126.14399999999999</v>
      </c>
      <c r="J48" s="10">
        <f t="shared" si="16"/>
        <v>31.535999999999998</v>
      </c>
      <c r="K48">
        <v>100000</v>
      </c>
      <c r="L48">
        <f>0.33*K48*0.6</f>
        <v>19800</v>
      </c>
      <c r="M48" s="4">
        <f>(L48-0.0045*L48)*0.6</f>
        <v>11826.54</v>
      </c>
      <c r="N48" s="4">
        <f>(M48-0.0045*M48)*0.6</f>
        <v>7063.9923420000005</v>
      </c>
      <c r="O48" s="1">
        <f t="shared" si="17"/>
        <v>138690.53234200002</v>
      </c>
    </row>
    <row r="49" spans="1:15" x14ac:dyDescent="0.2">
      <c r="A49" s="3">
        <v>0.5</v>
      </c>
      <c r="B49" s="4">
        <v>100000</v>
      </c>
      <c r="C49" s="4">
        <f t="shared" si="12"/>
        <v>400</v>
      </c>
      <c r="D49">
        <f t="shared" si="13"/>
        <v>33000</v>
      </c>
      <c r="E49">
        <f>0.9*C49*0.5</f>
        <v>180</v>
      </c>
      <c r="F49" s="1">
        <f t="shared" si="14"/>
        <v>62.999999999999993</v>
      </c>
      <c r="G49" s="1">
        <f>0.3*E49*0.5</f>
        <v>27</v>
      </c>
      <c r="H49" s="1">
        <f>0.15*E49*0.5*0.5</f>
        <v>6.75</v>
      </c>
      <c r="I49" s="1">
        <f t="shared" si="15"/>
        <v>96.75</v>
      </c>
      <c r="J49" s="10">
        <f t="shared" si="16"/>
        <v>24.1875</v>
      </c>
      <c r="K49">
        <v>100000</v>
      </c>
      <c r="L49">
        <f>0.33*K49*0.5</f>
        <v>16500</v>
      </c>
      <c r="M49" s="4">
        <f>(L49-0.0045*L49)*0.5</f>
        <v>8212.875</v>
      </c>
      <c r="N49" s="4">
        <f>(M49-0.0045*M49)*0.5</f>
        <v>4087.9585312499999</v>
      </c>
      <c r="O49" s="1">
        <f t="shared" si="17"/>
        <v>128800.83353125</v>
      </c>
    </row>
    <row r="50" spans="1:15" x14ac:dyDescent="0.2">
      <c r="A50" s="3">
        <v>0.4</v>
      </c>
      <c r="B50" s="4">
        <v>100000</v>
      </c>
      <c r="C50" s="4">
        <f t="shared" si="12"/>
        <v>400</v>
      </c>
      <c r="D50">
        <f t="shared" si="13"/>
        <v>33000</v>
      </c>
      <c r="E50">
        <f>0.9*C50*0.4</f>
        <v>144</v>
      </c>
      <c r="F50" s="1">
        <f t="shared" si="14"/>
        <v>50.4</v>
      </c>
      <c r="G50" s="1">
        <f>0.3*E50*0.4</f>
        <v>17.279999999999998</v>
      </c>
      <c r="H50" s="1">
        <f>0.15*E50*0.4*0.4</f>
        <v>3.4559999999999995</v>
      </c>
      <c r="I50" s="1">
        <f t="shared" si="15"/>
        <v>71.135999999999996</v>
      </c>
      <c r="J50" s="10">
        <f t="shared" si="16"/>
        <v>17.783999999999999</v>
      </c>
      <c r="K50">
        <v>100000</v>
      </c>
      <c r="L50">
        <f>0.33*K50*0.4</f>
        <v>13200</v>
      </c>
      <c r="M50" s="4">
        <f>(L50-0.0045*L50)*0.4</f>
        <v>5256.2400000000007</v>
      </c>
      <c r="N50" s="4">
        <f>(M50-0.0045*M50)*0.4</f>
        <v>2093.0347680000004</v>
      </c>
      <c r="O50" s="1">
        <f t="shared" si="17"/>
        <v>120549.274768</v>
      </c>
    </row>
    <row r="51" spans="1:15" x14ac:dyDescent="0.2">
      <c r="A51" s="3">
        <v>0.3</v>
      </c>
      <c r="B51" s="4">
        <v>100000</v>
      </c>
      <c r="C51" s="4">
        <f t="shared" si="12"/>
        <v>400</v>
      </c>
      <c r="D51">
        <f t="shared" si="13"/>
        <v>33000</v>
      </c>
      <c r="E51">
        <f>0.9*C51*0.3</f>
        <v>108</v>
      </c>
      <c r="F51" s="1">
        <f t="shared" si="14"/>
        <v>37.799999999999997</v>
      </c>
      <c r="G51" s="1">
        <f>0.3*E51*0.3</f>
        <v>9.7199999999999989</v>
      </c>
      <c r="H51" s="1">
        <f>0.15*E51*0.3*0.3</f>
        <v>1.4579999999999997</v>
      </c>
      <c r="I51" s="1">
        <f t="shared" si="15"/>
        <v>48.977999999999994</v>
      </c>
      <c r="J51" s="10">
        <f t="shared" si="16"/>
        <v>12.244499999999999</v>
      </c>
      <c r="K51">
        <v>100000</v>
      </c>
      <c r="L51">
        <f>0.33*K51*0.3</f>
        <v>9900</v>
      </c>
      <c r="M51" s="4">
        <f>(L51-0.0045*L51)*0.3</f>
        <v>2956.6350000000002</v>
      </c>
      <c r="N51" s="4">
        <f>(M51-0.0045*M51)*0.3</f>
        <v>882.99904275000006</v>
      </c>
      <c r="O51" s="1">
        <f t="shared" si="17"/>
        <v>113739.63404275</v>
      </c>
    </row>
    <row r="52" spans="1:15" x14ac:dyDescent="0.2">
      <c r="A52" s="3">
        <v>0.2</v>
      </c>
      <c r="B52" s="4">
        <v>100000</v>
      </c>
      <c r="C52" s="4">
        <f t="shared" si="12"/>
        <v>400</v>
      </c>
      <c r="D52">
        <f t="shared" si="13"/>
        <v>33000</v>
      </c>
      <c r="E52">
        <f>0.9*C52*0.2</f>
        <v>72</v>
      </c>
      <c r="F52" s="1">
        <f t="shared" si="14"/>
        <v>25.2</v>
      </c>
      <c r="G52" s="1">
        <f>0.3*E52*0.2</f>
        <v>4.3199999999999994</v>
      </c>
      <c r="H52" s="1">
        <f>0.15*E52*0.2*0.2</f>
        <v>0.43199999999999994</v>
      </c>
      <c r="I52" s="1">
        <f t="shared" si="15"/>
        <v>29.951999999999998</v>
      </c>
      <c r="J52" s="10">
        <f t="shared" si="16"/>
        <v>7.4880000000000004</v>
      </c>
      <c r="K52">
        <v>100000</v>
      </c>
      <c r="L52">
        <f>0.33*K52*0.2</f>
        <v>6600</v>
      </c>
      <c r="M52" s="4">
        <f>(L52-0.0045*L52)*0.2</f>
        <v>1314.0600000000002</v>
      </c>
      <c r="N52" s="4">
        <f>(M52-0.0045*M52)*0.2</f>
        <v>261.62934600000006</v>
      </c>
      <c r="O52" s="1">
        <f t="shared" si="17"/>
        <v>108175.689346</v>
      </c>
    </row>
    <row r="53" spans="1:15" x14ac:dyDescent="0.2">
      <c r="A53" s="3">
        <v>0.1</v>
      </c>
      <c r="B53" s="4">
        <v>100000</v>
      </c>
      <c r="C53" s="4">
        <f t="shared" si="12"/>
        <v>400</v>
      </c>
      <c r="D53">
        <f t="shared" si="13"/>
        <v>33000</v>
      </c>
      <c r="E53">
        <f>0.9*C53*0.1</f>
        <v>36</v>
      </c>
      <c r="F53" s="1">
        <f t="shared" si="14"/>
        <v>12.6</v>
      </c>
      <c r="G53" s="1">
        <f>0.3*E53*0.1</f>
        <v>1.0799999999999998</v>
      </c>
      <c r="H53" s="1">
        <f>0.15*E53*0.1*0.1</f>
        <v>5.3999999999999992E-2</v>
      </c>
      <c r="I53" s="1">
        <f t="shared" si="15"/>
        <v>13.734</v>
      </c>
      <c r="J53" s="10">
        <f t="shared" si="16"/>
        <v>3.4334999999999996</v>
      </c>
      <c r="K53">
        <v>100000</v>
      </c>
      <c r="L53">
        <f>0.33*K53*0.1</f>
        <v>3300</v>
      </c>
      <c r="M53" s="4">
        <f>(L53-0.0045*L53)*0.1</f>
        <v>328.51500000000004</v>
      </c>
      <c r="N53" s="4">
        <f>(M53-0.0045*M53)*0.1</f>
        <v>32.703668250000007</v>
      </c>
      <c r="O53" s="1">
        <f t="shared" si="17"/>
        <v>103661.21866825</v>
      </c>
    </row>
    <row r="54" spans="1:15" x14ac:dyDescent="0.2">
      <c r="A54" s="3">
        <v>0</v>
      </c>
      <c r="B54" s="4">
        <v>100000</v>
      </c>
      <c r="C54" s="4">
        <f t="shared" si="12"/>
        <v>400</v>
      </c>
      <c r="D54">
        <f t="shared" si="13"/>
        <v>33000</v>
      </c>
      <c r="E54">
        <f>0.9*C54*0</f>
        <v>0</v>
      </c>
      <c r="F54" s="1">
        <f t="shared" si="14"/>
        <v>0</v>
      </c>
      <c r="G54" s="1">
        <f>0.3*E54*0</f>
        <v>0</v>
      </c>
      <c r="H54" s="1">
        <f>0.15*E54*0</f>
        <v>0</v>
      </c>
      <c r="I54" s="1">
        <f t="shared" si="15"/>
        <v>0</v>
      </c>
      <c r="J54" s="10">
        <f t="shared" si="16"/>
        <v>0</v>
      </c>
      <c r="K54">
        <v>100000</v>
      </c>
      <c r="L54">
        <f>0.33*K54*0</f>
        <v>0</v>
      </c>
      <c r="M54" s="4">
        <f>(L54-0.0045*L54)*0</f>
        <v>0</v>
      </c>
      <c r="N54" s="4">
        <f>(M54-0.0045*M54)*0</f>
        <v>0</v>
      </c>
      <c r="O54" s="1">
        <f t="shared" si="17"/>
        <v>100000</v>
      </c>
    </row>
    <row r="56" spans="1:15" s="8" customFormat="1" x14ac:dyDescent="0.2">
      <c r="A56" s="8" t="s">
        <v>27</v>
      </c>
    </row>
    <row r="58" spans="1:15" x14ac:dyDescent="0.2">
      <c r="A58" s="2" t="s">
        <v>12</v>
      </c>
      <c r="B58" s="2" t="s">
        <v>1</v>
      </c>
      <c r="C58" s="2" t="s">
        <v>2</v>
      </c>
      <c r="D58" s="2" t="s">
        <v>20</v>
      </c>
      <c r="E58" s="2" t="s">
        <v>13</v>
      </c>
      <c r="F58" s="2" t="s">
        <v>7</v>
      </c>
      <c r="G58" s="2" t="s">
        <v>8</v>
      </c>
      <c r="H58" s="2" t="s">
        <v>9</v>
      </c>
      <c r="I58" s="2" t="s">
        <v>10</v>
      </c>
      <c r="J58" s="11" t="s">
        <v>11</v>
      </c>
      <c r="K58" s="2" t="s">
        <v>14</v>
      </c>
      <c r="L58" s="2" t="s">
        <v>3</v>
      </c>
      <c r="M58" s="2" t="s">
        <v>4</v>
      </c>
      <c r="N58" s="2" t="s">
        <v>5</v>
      </c>
      <c r="O58" s="2" t="s">
        <v>6</v>
      </c>
    </row>
    <row r="59" spans="1:15" x14ac:dyDescent="0.2">
      <c r="A59" s="3">
        <v>1</v>
      </c>
      <c r="B59" s="4">
        <v>100000</v>
      </c>
      <c r="C59" s="4">
        <f>0.004*B59</f>
        <v>400</v>
      </c>
      <c r="D59">
        <f>0.2*B59</f>
        <v>20000</v>
      </c>
      <c r="E59">
        <f>0.85*C59*1</f>
        <v>340</v>
      </c>
      <c r="F59" s="1">
        <f>0.35*E59*1</f>
        <v>118.99999999999999</v>
      </c>
      <c r="G59" s="1">
        <f>0.3*E59*1</f>
        <v>102</v>
      </c>
      <c r="H59" s="1">
        <f>0.15*E59*1</f>
        <v>51</v>
      </c>
      <c r="I59" s="1">
        <f>F59+G59+H59</f>
        <v>272</v>
      </c>
      <c r="J59" s="10">
        <f>I59/C59*100</f>
        <v>68</v>
      </c>
      <c r="K59">
        <v>100000</v>
      </c>
      <c r="L59">
        <f>0.2*K59*1</f>
        <v>20000</v>
      </c>
      <c r="M59" s="4">
        <f>(L59-0.00665*L59)*1</f>
        <v>19867</v>
      </c>
      <c r="N59" s="4">
        <f>(M59-0.00665*M59)*1</f>
        <v>19734.884450000001</v>
      </c>
      <c r="O59" s="1">
        <f>K59+L59+M59+N59</f>
        <v>159601.88445000001</v>
      </c>
    </row>
    <row r="60" spans="1:15" x14ac:dyDescent="0.2">
      <c r="A60" s="3">
        <v>0.9</v>
      </c>
      <c r="B60" s="4">
        <v>100000</v>
      </c>
      <c r="C60" s="4">
        <f t="shared" ref="C60:C69" si="18">0.004*B60</f>
        <v>400</v>
      </c>
      <c r="D60">
        <f t="shared" ref="D60:D69" si="19">0.2*B60</f>
        <v>20000</v>
      </c>
      <c r="E60">
        <f>0.85*C60*0.9</f>
        <v>306</v>
      </c>
      <c r="F60" s="1">
        <f t="shared" ref="F60:F69" si="20">0.35*E60*1</f>
        <v>107.1</v>
      </c>
      <c r="G60" s="1">
        <f>0.3*E60*0.9</f>
        <v>82.62</v>
      </c>
      <c r="H60" s="1">
        <f>0.15*E60*0.9*0.9</f>
        <v>37.179000000000002</v>
      </c>
      <c r="I60" s="1">
        <f t="shared" ref="I60:I69" si="21">F60+G60+H60</f>
        <v>226.899</v>
      </c>
      <c r="J60" s="10">
        <f t="shared" ref="J60:J69" si="22">I60/C60*100</f>
        <v>56.72475</v>
      </c>
      <c r="K60">
        <v>100000</v>
      </c>
      <c r="L60">
        <f>0.2*K60*0.9</f>
        <v>18000</v>
      </c>
      <c r="M60" s="4">
        <f>(L60-0.00665*L60)*0.9</f>
        <v>16092.27</v>
      </c>
      <c r="N60" s="4">
        <f>(M60-0.00665*M60)*0.9</f>
        <v>14386.73076405</v>
      </c>
      <c r="O60" s="1">
        <f t="shared" ref="O60:O69" si="23">K60+L60+M60+N60</f>
        <v>148479.00076405</v>
      </c>
    </row>
    <row r="61" spans="1:15" x14ac:dyDescent="0.2">
      <c r="A61" s="3">
        <v>0.8</v>
      </c>
      <c r="B61" s="4">
        <v>100000</v>
      </c>
      <c r="C61" s="4">
        <f t="shared" si="18"/>
        <v>400</v>
      </c>
      <c r="D61">
        <f t="shared" si="19"/>
        <v>20000</v>
      </c>
      <c r="E61">
        <f>0.85*C61*0.8</f>
        <v>272</v>
      </c>
      <c r="F61" s="1">
        <f t="shared" si="20"/>
        <v>95.199999999999989</v>
      </c>
      <c r="G61" s="1">
        <f>0.3*E61*0.8</f>
        <v>65.28</v>
      </c>
      <c r="H61" s="1">
        <f>0.15*E61*0.8*0.8</f>
        <v>26.112000000000002</v>
      </c>
      <c r="I61" s="1">
        <f t="shared" si="21"/>
        <v>186.59199999999998</v>
      </c>
      <c r="J61" s="10">
        <f t="shared" si="22"/>
        <v>46.647999999999996</v>
      </c>
      <c r="K61">
        <v>100000</v>
      </c>
      <c r="L61">
        <f>0.2*K61*0.8</f>
        <v>16000</v>
      </c>
      <c r="M61" s="4">
        <f>(L61-0.00665*L61)*0.8</f>
        <v>12714.880000000001</v>
      </c>
      <c r="N61" s="4">
        <f>(M61-0.00665*M61)*0.8</f>
        <v>10104.260838400001</v>
      </c>
      <c r="O61" s="1">
        <f t="shared" si="23"/>
        <v>138819.1408384</v>
      </c>
    </row>
    <row r="62" spans="1:15" x14ac:dyDescent="0.2">
      <c r="A62" s="3">
        <v>0.7</v>
      </c>
      <c r="B62" s="4">
        <v>100000</v>
      </c>
      <c r="C62" s="4">
        <f t="shared" si="18"/>
        <v>400</v>
      </c>
      <c r="D62">
        <f t="shared" si="19"/>
        <v>20000</v>
      </c>
      <c r="E62">
        <f>0.85*C62*0.7</f>
        <v>237.99999999999997</v>
      </c>
      <c r="F62" s="1">
        <f t="shared" si="20"/>
        <v>83.299999999999983</v>
      </c>
      <c r="G62" s="1">
        <f>0.3*E62*0.7</f>
        <v>49.97999999999999</v>
      </c>
      <c r="H62" s="1">
        <f>0.15*E62*0.7*0.7</f>
        <v>17.492999999999995</v>
      </c>
      <c r="I62" s="1">
        <f t="shared" si="21"/>
        <v>150.77299999999997</v>
      </c>
      <c r="J62" s="10">
        <f t="shared" si="22"/>
        <v>37.693249999999992</v>
      </c>
      <c r="K62">
        <v>100000</v>
      </c>
      <c r="L62">
        <f>0.2*K62*0.7</f>
        <v>14000</v>
      </c>
      <c r="M62" s="4">
        <f>(L62-0.00665*L62)*0.7</f>
        <v>9734.83</v>
      </c>
      <c r="N62" s="4">
        <f>(M62-0.00665*M62)*0.7</f>
        <v>6769.0653663499997</v>
      </c>
      <c r="O62" s="1">
        <f t="shared" si="23"/>
        <v>130503.89536635</v>
      </c>
    </row>
    <row r="63" spans="1:15" x14ac:dyDescent="0.2">
      <c r="A63" s="3">
        <v>0.6</v>
      </c>
      <c r="B63" s="4">
        <v>100000</v>
      </c>
      <c r="C63" s="4">
        <f t="shared" si="18"/>
        <v>400</v>
      </c>
      <c r="D63">
        <f t="shared" si="19"/>
        <v>20000</v>
      </c>
      <c r="E63">
        <f>0.85*C63*0.6</f>
        <v>204</v>
      </c>
      <c r="F63" s="1">
        <f t="shared" si="20"/>
        <v>71.399999999999991</v>
      </c>
      <c r="G63" s="1">
        <f>0.3*E63*0.6</f>
        <v>36.72</v>
      </c>
      <c r="H63" s="1">
        <f>0.15*E63*0.6*0.6</f>
        <v>11.016</v>
      </c>
      <c r="I63" s="1">
        <f t="shared" si="21"/>
        <v>119.136</v>
      </c>
      <c r="J63" s="10">
        <f t="shared" si="22"/>
        <v>29.783999999999999</v>
      </c>
      <c r="K63">
        <v>100000</v>
      </c>
      <c r="L63">
        <f>0.2*K63*0.6</f>
        <v>12000</v>
      </c>
      <c r="M63" s="4">
        <f>(L63-0.00665*L63)*0.6</f>
        <v>7152.12</v>
      </c>
      <c r="N63" s="4">
        <f>(M63-0.00665*M63)*0.6</f>
        <v>4262.7350411999996</v>
      </c>
      <c r="O63" s="1">
        <f t="shared" si="23"/>
        <v>123414.85504119999</v>
      </c>
    </row>
    <row r="64" spans="1:15" x14ac:dyDescent="0.2">
      <c r="A64" s="3">
        <v>0.5</v>
      </c>
      <c r="B64" s="4">
        <v>100000</v>
      </c>
      <c r="C64" s="4">
        <f t="shared" si="18"/>
        <v>400</v>
      </c>
      <c r="D64">
        <f t="shared" si="19"/>
        <v>20000</v>
      </c>
      <c r="E64">
        <f>0.85*C64*0.5</f>
        <v>170</v>
      </c>
      <c r="F64" s="1">
        <f t="shared" si="20"/>
        <v>59.499999999999993</v>
      </c>
      <c r="G64" s="1">
        <f>0.3*E64*0.5</f>
        <v>25.5</v>
      </c>
      <c r="H64" s="1">
        <f>0.15*E64*0.5*0.5</f>
        <v>6.375</v>
      </c>
      <c r="I64" s="1">
        <f t="shared" si="21"/>
        <v>91.375</v>
      </c>
      <c r="J64" s="10">
        <f t="shared" si="22"/>
        <v>22.84375</v>
      </c>
      <c r="K64">
        <v>100000</v>
      </c>
      <c r="L64">
        <f>0.2*K64*0.5</f>
        <v>10000</v>
      </c>
      <c r="M64" s="4">
        <f>(L64-0.00665*L64)*0.5</f>
        <v>4966.75</v>
      </c>
      <c r="N64" s="4">
        <f>(M64-0.00665*M64)*0.5</f>
        <v>2466.8605562500002</v>
      </c>
      <c r="O64" s="1">
        <f t="shared" si="23"/>
        <v>117433.61055625</v>
      </c>
    </row>
    <row r="65" spans="1:15" x14ac:dyDescent="0.2">
      <c r="A65" s="3">
        <v>0.4</v>
      </c>
      <c r="B65" s="4">
        <v>100000</v>
      </c>
      <c r="C65" s="4">
        <f t="shared" si="18"/>
        <v>400</v>
      </c>
      <c r="D65">
        <f t="shared" si="19"/>
        <v>20000</v>
      </c>
      <c r="E65">
        <f>0.85*C65*0.4</f>
        <v>136</v>
      </c>
      <c r="F65" s="1">
        <f t="shared" si="20"/>
        <v>47.599999999999994</v>
      </c>
      <c r="G65" s="1">
        <f>0.3*E65*0.4</f>
        <v>16.32</v>
      </c>
      <c r="H65" s="1">
        <f>0.15*E65*0.4*0.4</f>
        <v>3.2640000000000002</v>
      </c>
      <c r="I65" s="1">
        <f t="shared" si="21"/>
        <v>67.183999999999997</v>
      </c>
      <c r="J65" s="10">
        <f t="shared" si="22"/>
        <v>16.795999999999999</v>
      </c>
      <c r="K65">
        <v>100000</v>
      </c>
      <c r="L65">
        <f>0.2*K65*0.4</f>
        <v>8000</v>
      </c>
      <c r="M65" s="4">
        <f>(L65-0.00665*L65)*0.4</f>
        <v>3178.7200000000003</v>
      </c>
      <c r="N65" s="4">
        <f>(M65-0.00665*M65)*0.4</f>
        <v>1263.0326048000002</v>
      </c>
      <c r="O65" s="1">
        <f t="shared" si="23"/>
        <v>112441.7526048</v>
      </c>
    </row>
    <row r="66" spans="1:15" x14ac:dyDescent="0.2">
      <c r="A66" s="3">
        <v>0.3</v>
      </c>
      <c r="B66" s="4">
        <v>100000</v>
      </c>
      <c r="C66" s="4">
        <f t="shared" si="18"/>
        <v>400</v>
      </c>
      <c r="D66">
        <f t="shared" si="19"/>
        <v>20000</v>
      </c>
      <c r="E66">
        <f>0.85*C66*0.3</f>
        <v>102</v>
      </c>
      <c r="F66" s="1">
        <f t="shared" si="20"/>
        <v>35.699999999999996</v>
      </c>
      <c r="G66" s="1">
        <f>0.3*E66*0.3</f>
        <v>9.18</v>
      </c>
      <c r="H66" s="1">
        <f>0.15*E66*0.3*0.3</f>
        <v>1.377</v>
      </c>
      <c r="I66" s="1">
        <f t="shared" si="21"/>
        <v>46.256999999999998</v>
      </c>
      <c r="J66" s="10">
        <f t="shared" si="22"/>
        <v>11.564249999999999</v>
      </c>
      <c r="K66">
        <v>100000</v>
      </c>
      <c r="L66">
        <f>0.2*K66*0.3</f>
        <v>6000</v>
      </c>
      <c r="M66" s="4">
        <f>(L66-0.00665*L66)*0.3</f>
        <v>1788.03</v>
      </c>
      <c r="N66" s="4">
        <f>(M66-0.00665*M66)*0.3</f>
        <v>532.84188014999995</v>
      </c>
      <c r="O66" s="1">
        <f t="shared" si="23"/>
        <v>108320.87188014999</v>
      </c>
    </row>
    <row r="67" spans="1:15" x14ac:dyDescent="0.2">
      <c r="A67" s="3">
        <v>0.2</v>
      </c>
      <c r="B67" s="4">
        <v>100000</v>
      </c>
      <c r="C67" s="4">
        <f t="shared" si="18"/>
        <v>400</v>
      </c>
      <c r="D67">
        <f t="shared" si="19"/>
        <v>20000</v>
      </c>
      <c r="E67">
        <f>0.85*C67*0.2</f>
        <v>68</v>
      </c>
      <c r="F67" s="1">
        <f t="shared" si="20"/>
        <v>23.799999999999997</v>
      </c>
      <c r="G67" s="1">
        <f>0.3*E67*0.2</f>
        <v>4.08</v>
      </c>
      <c r="H67" s="1">
        <f>0.15*E67*0.2*0.2</f>
        <v>0.40800000000000003</v>
      </c>
      <c r="I67" s="1">
        <f t="shared" si="21"/>
        <v>28.287999999999997</v>
      </c>
      <c r="J67" s="10">
        <f t="shared" si="22"/>
        <v>7.0719999999999992</v>
      </c>
      <c r="K67">
        <v>100000</v>
      </c>
      <c r="L67">
        <f>0.2*K67*0.2</f>
        <v>4000</v>
      </c>
      <c r="M67" s="4">
        <f>(L67-0.00665*L67)*0.2</f>
        <v>794.68000000000006</v>
      </c>
      <c r="N67" s="4">
        <f>(M67-0.00665*M67)*0.2</f>
        <v>157.87907560000002</v>
      </c>
      <c r="O67" s="1">
        <f t="shared" si="23"/>
        <v>104952.55907559999</v>
      </c>
    </row>
    <row r="68" spans="1:15" x14ac:dyDescent="0.2">
      <c r="A68" s="3">
        <v>0.1</v>
      </c>
      <c r="B68" s="4">
        <v>100000</v>
      </c>
      <c r="C68" s="4">
        <f t="shared" si="18"/>
        <v>400</v>
      </c>
      <c r="D68">
        <f t="shared" si="19"/>
        <v>20000</v>
      </c>
      <c r="E68">
        <f>0.85*C68*0.1</f>
        <v>34</v>
      </c>
      <c r="F68" s="1">
        <f t="shared" si="20"/>
        <v>11.899999999999999</v>
      </c>
      <c r="G68" s="1">
        <f>0.3*E68*0.1</f>
        <v>1.02</v>
      </c>
      <c r="H68" s="1">
        <f>0.15*E68*0.1*0.1</f>
        <v>5.1000000000000004E-2</v>
      </c>
      <c r="I68" s="1">
        <f t="shared" si="21"/>
        <v>12.970999999999998</v>
      </c>
      <c r="J68" s="10">
        <f t="shared" si="22"/>
        <v>3.24275</v>
      </c>
      <c r="K68">
        <v>100000</v>
      </c>
      <c r="L68">
        <f>0.2*K68*0.1</f>
        <v>2000</v>
      </c>
      <c r="M68" s="4">
        <f>(L68-0.00665*L68)*0.1</f>
        <v>198.67000000000002</v>
      </c>
      <c r="N68" s="4">
        <f>(M68-0.00665*M68)*0.1</f>
        <v>19.734884450000003</v>
      </c>
      <c r="O68" s="1">
        <f t="shared" si="23"/>
        <v>102218.40488444999</v>
      </c>
    </row>
    <row r="69" spans="1:15" x14ac:dyDescent="0.2">
      <c r="A69" s="3">
        <v>0</v>
      </c>
      <c r="B69" s="4">
        <v>100000</v>
      </c>
      <c r="C69" s="4">
        <f t="shared" si="18"/>
        <v>400</v>
      </c>
      <c r="D69">
        <f t="shared" si="19"/>
        <v>20000</v>
      </c>
      <c r="E69">
        <f>0.3*C69*0</f>
        <v>0</v>
      </c>
      <c r="F69" s="1">
        <f t="shared" si="20"/>
        <v>0</v>
      </c>
      <c r="G69" s="1">
        <f>0.3*E69*0</f>
        <v>0</v>
      </c>
      <c r="H69" s="1">
        <f>0.15*E69*0</f>
        <v>0</v>
      </c>
      <c r="I69" s="1">
        <f t="shared" si="21"/>
        <v>0</v>
      </c>
      <c r="J69" s="10">
        <f t="shared" si="22"/>
        <v>0</v>
      </c>
      <c r="K69">
        <v>100000</v>
      </c>
      <c r="L69">
        <f>0.2*K69*0</f>
        <v>0</v>
      </c>
      <c r="M69" s="4">
        <f>(L69-0.00665*L69)*0</f>
        <v>0</v>
      </c>
      <c r="N69" s="4">
        <f>(M69-0.00665*M69)*0</f>
        <v>0</v>
      </c>
      <c r="O69" s="1">
        <f t="shared" si="23"/>
        <v>100000</v>
      </c>
    </row>
    <row r="71" spans="1:15" s="9" customFormat="1" x14ac:dyDescent="0.2">
      <c r="A71" s="9" t="s">
        <v>28</v>
      </c>
    </row>
    <row r="73" spans="1:15" x14ac:dyDescent="0.2">
      <c r="A73" s="2" t="s">
        <v>12</v>
      </c>
      <c r="B73" s="2" t="s">
        <v>1</v>
      </c>
      <c r="C73" s="2" t="s">
        <v>2</v>
      </c>
      <c r="D73" s="2" t="s">
        <v>20</v>
      </c>
      <c r="E73" s="2" t="s">
        <v>13</v>
      </c>
      <c r="F73" s="2" t="s">
        <v>7</v>
      </c>
      <c r="G73" s="2" t="s">
        <v>8</v>
      </c>
      <c r="H73" s="2" t="s">
        <v>9</v>
      </c>
      <c r="I73" s="2" t="s">
        <v>10</v>
      </c>
      <c r="J73" s="11" t="s">
        <v>11</v>
      </c>
      <c r="K73" s="2" t="s">
        <v>14</v>
      </c>
      <c r="L73" s="2" t="s">
        <v>3</v>
      </c>
      <c r="M73" s="2" t="s">
        <v>4</v>
      </c>
      <c r="N73" s="2" t="s">
        <v>5</v>
      </c>
      <c r="O73" s="2" t="s">
        <v>6</v>
      </c>
    </row>
    <row r="74" spans="1:15" x14ac:dyDescent="0.2">
      <c r="A74" s="3">
        <v>1</v>
      </c>
      <c r="B74" s="4">
        <v>100000</v>
      </c>
      <c r="C74" s="4">
        <f>0.004*B74</f>
        <v>400</v>
      </c>
      <c r="D74">
        <f>0.03*B74</f>
        <v>3000</v>
      </c>
      <c r="E74">
        <f>0.35*C74*1</f>
        <v>140</v>
      </c>
      <c r="F74" s="1">
        <f>0.35*E74*1</f>
        <v>49</v>
      </c>
      <c r="G74" s="1">
        <f>0.3*E74*1</f>
        <v>42</v>
      </c>
      <c r="H74" s="1">
        <f>0.15*E74*1</f>
        <v>21</v>
      </c>
      <c r="I74" s="1">
        <f>F74+G74+H74</f>
        <v>112</v>
      </c>
      <c r="J74" s="10">
        <f>I74/C74*100</f>
        <v>28.000000000000004</v>
      </c>
      <c r="K74">
        <v>100000</v>
      </c>
      <c r="L74">
        <f>0.03*K74*1</f>
        <v>3000</v>
      </c>
      <c r="M74" s="4">
        <f>(L74-0.017*L74)*1</f>
        <v>2949</v>
      </c>
      <c r="N74" s="4">
        <f>(M74-0.017*M74)*1</f>
        <v>2898.8670000000002</v>
      </c>
      <c r="O74" s="1">
        <f>K74+L74+M74+N74</f>
        <v>108847.867</v>
      </c>
    </row>
    <row r="75" spans="1:15" x14ac:dyDescent="0.2">
      <c r="A75" s="3">
        <v>0.9</v>
      </c>
      <c r="B75" s="4">
        <v>100000</v>
      </c>
      <c r="C75" s="4">
        <f t="shared" ref="C75:C84" si="24">0.004*B75</f>
        <v>400</v>
      </c>
      <c r="D75">
        <f t="shared" ref="D75:D84" si="25">0.03*B75</f>
        <v>3000</v>
      </c>
      <c r="E75">
        <f>0.35*C75*0.9</f>
        <v>126</v>
      </c>
      <c r="F75" s="1">
        <f t="shared" ref="F75:F84" si="26">0.35*E75*1</f>
        <v>44.099999999999994</v>
      </c>
      <c r="G75" s="1">
        <f>0.3*E75*0.9</f>
        <v>34.019999999999996</v>
      </c>
      <c r="H75" s="1">
        <f>0.15*E75*0.9*0.9</f>
        <v>15.308999999999999</v>
      </c>
      <c r="I75" s="1">
        <f t="shared" ref="I75:I84" si="27">F75+G75+H75</f>
        <v>93.428999999999988</v>
      </c>
      <c r="J75" s="10">
        <f t="shared" ref="J75:J84" si="28">I75/C75*100</f>
        <v>23.357249999999997</v>
      </c>
      <c r="K75">
        <v>100000</v>
      </c>
      <c r="L75">
        <f>0.03*K75*0.9</f>
        <v>2700</v>
      </c>
      <c r="M75" s="4">
        <f>(L75-0.017*L75)*0.9</f>
        <v>2388.69</v>
      </c>
      <c r="N75" s="4">
        <f>(M75-0.017*M75)*0.9</f>
        <v>2113.2740429999999</v>
      </c>
      <c r="O75" s="1">
        <f t="shared" ref="O75:O84" si="29">K75+L75+M75+N75</f>
        <v>107201.964043</v>
      </c>
    </row>
    <row r="76" spans="1:15" x14ac:dyDescent="0.2">
      <c r="A76" s="3">
        <v>0.8</v>
      </c>
      <c r="B76" s="4">
        <v>100000</v>
      </c>
      <c r="C76" s="4">
        <f t="shared" si="24"/>
        <v>400</v>
      </c>
      <c r="D76">
        <f t="shared" si="25"/>
        <v>3000</v>
      </c>
      <c r="E76">
        <f>0.35*C76*0.8</f>
        <v>112</v>
      </c>
      <c r="F76" s="1">
        <f t="shared" si="26"/>
        <v>39.199999999999996</v>
      </c>
      <c r="G76" s="1">
        <f>0.3*E76*0.8</f>
        <v>26.880000000000003</v>
      </c>
      <c r="H76" s="1">
        <f>0.15*E76*0.8*0.8</f>
        <v>10.752000000000002</v>
      </c>
      <c r="I76" s="1">
        <f t="shared" si="27"/>
        <v>76.831999999999994</v>
      </c>
      <c r="J76" s="10">
        <f t="shared" si="28"/>
        <v>19.207999999999998</v>
      </c>
      <c r="K76">
        <v>100000</v>
      </c>
      <c r="L76">
        <f>0.03*K76*0.8</f>
        <v>2400</v>
      </c>
      <c r="M76" s="4">
        <f>(L76-0.017*L76)*0.8</f>
        <v>1887.36</v>
      </c>
      <c r="N76" s="4">
        <f>(M76-0.017*M76)*0.8</f>
        <v>1484.219904</v>
      </c>
      <c r="O76" s="1">
        <f t="shared" si="29"/>
        <v>105771.579904</v>
      </c>
    </row>
    <row r="77" spans="1:15" x14ac:dyDescent="0.2">
      <c r="A77" s="3">
        <v>0.7</v>
      </c>
      <c r="B77" s="4">
        <v>100000</v>
      </c>
      <c r="C77" s="4">
        <f t="shared" si="24"/>
        <v>400</v>
      </c>
      <c r="D77">
        <f t="shared" si="25"/>
        <v>3000</v>
      </c>
      <c r="E77">
        <f>0.35*C77*0.7</f>
        <v>98</v>
      </c>
      <c r="F77" s="1">
        <f t="shared" si="26"/>
        <v>34.299999999999997</v>
      </c>
      <c r="G77" s="1">
        <f>0.3*E77*0.7</f>
        <v>20.58</v>
      </c>
      <c r="H77" s="1">
        <f>0.15*E77*0.7*0.7</f>
        <v>7.2029999999999985</v>
      </c>
      <c r="I77" s="1">
        <f t="shared" si="27"/>
        <v>62.082999999999991</v>
      </c>
      <c r="J77" s="10">
        <f t="shared" si="28"/>
        <v>15.520749999999998</v>
      </c>
      <c r="K77">
        <v>100000</v>
      </c>
      <c r="L77">
        <f>0.03*K77*0.7</f>
        <v>2100</v>
      </c>
      <c r="M77" s="4">
        <f>(L77-0.017*L77)*0.7</f>
        <v>1445.01</v>
      </c>
      <c r="N77" s="4">
        <f>(M77-0.017*M77)*0.7</f>
        <v>994.31138099999987</v>
      </c>
      <c r="O77" s="1">
        <f t="shared" si="29"/>
        <v>104539.321381</v>
      </c>
    </row>
    <row r="78" spans="1:15" x14ac:dyDescent="0.2">
      <c r="A78" s="3">
        <v>0.6</v>
      </c>
      <c r="B78" s="4">
        <v>100000</v>
      </c>
      <c r="C78" s="4">
        <f t="shared" si="24"/>
        <v>400</v>
      </c>
      <c r="D78">
        <f t="shared" si="25"/>
        <v>3000</v>
      </c>
      <c r="E78">
        <f>0.35*C78*0.6</f>
        <v>84</v>
      </c>
      <c r="F78" s="1">
        <f t="shared" si="26"/>
        <v>29.4</v>
      </c>
      <c r="G78" s="1">
        <f>0.3*E78*0.6</f>
        <v>15.12</v>
      </c>
      <c r="H78" s="1">
        <f>0.15*E78*0.6*0.6</f>
        <v>4.5359999999999996</v>
      </c>
      <c r="I78" s="1">
        <f t="shared" si="27"/>
        <v>49.055999999999997</v>
      </c>
      <c r="J78" s="10">
        <f t="shared" si="28"/>
        <v>12.263999999999999</v>
      </c>
      <c r="K78">
        <v>100000</v>
      </c>
      <c r="L78">
        <f>0.03*K78*0.6</f>
        <v>1800</v>
      </c>
      <c r="M78" s="4">
        <f>(L78-0.017*L78)*0.6</f>
        <v>1061.6400000000001</v>
      </c>
      <c r="N78" s="4">
        <f>(M78-0.017*M78)*0.6</f>
        <v>626.15527199999997</v>
      </c>
      <c r="O78" s="1">
        <f t="shared" si="29"/>
        <v>103487.795272</v>
      </c>
    </row>
    <row r="79" spans="1:15" x14ac:dyDescent="0.2">
      <c r="A79" s="3">
        <v>0.5</v>
      </c>
      <c r="B79" s="4">
        <v>100000</v>
      </c>
      <c r="C79" s="4">
        <f t="shared" si="24"/>
        <v>400</v>
      </c>
      <c r="D79">
        <f t="shared" si="25"/>
        <v>3000</v>
      </c>
      <c r="E79">
        <f>0.35*C79*0.5</f>
        <v>70</v>
      </c>
      <c r="F79" s="1">
        <f t="shared" si="26"/>
        <v>24.5</v>
      </c>
      <c r="G79" s="1">
        <f>0.3*E79*0.5</f>
        <v>10.5</v>
      </c>
      <c r="H79" s="1">
        <f>0.15*E79*0.5*0.5</f>
        <v>2.625</v>
      </c>
      <c r="I79" s="1">
        <f t="shared" si="27"/>
        <v>37.625</v>
      </c>
      <c r="J79" s="10">
        <f t="shared" si="28"/>
        <v>9.40625</v>
      </c>
      <c r="K79">
        <v>100000</v>
      </c>
      <c r="L79">
        <f>0.03*K79*0.5</f>
        <v>1500</v>
      </c>
      <c r="M79" s="4">
        <f>(L79-0.017*L79)*0.5</f>
        <v>737.25</v>
      </c>
      <c r="N79" s="4">
        <f>(M79-0.017*M79)*0.5</f>
        <v>362.35837500000002</v>
      </c>
      <c r="O79" s="1">
        <f t="shared" si="29"/>
        <v>102599.608375</v>
      </c>
    </row>
    <row r="80" spans="1:15" x14ac:dyDescent="0.2">
      <c r="A80" s="3">
        <v>0.4</v>
      </c>
      <c r="B80" s="4">
        <v>100000</v>
      </c>
      <c r="C80" s="4">
        <f t="shared" si="24"/>
        <v>400</v>
      </c>
      <c r="D80">
        <f t="shared" si="25"/>
        <v>3000</v>
      </c>
      <c r="E80">
        <f>0.35*C80*0.4</f>
        <v>56</v>
      </c>
      <c r="F80" s="1">
        <f t="shared" si="26"/>
        <v>19.599999999999998</v>
      </c>
      <c r="G80" s="1">
        <f>0.3*E80*0.4</f>
        <v>6.7200000000000006</v>
      </c>
      <c r="H80" s="1">
        <f>0.15*E80*0.4*0.4</f>
        <v>1.3440000000000003</v>
      </c>
      <c r="I80" s="1">
        <f t="shared" si="27"/>
        <v>27.664000000000001</v>
      </c>
      <c r="J80" s="10">
        <f t="shared" si="28"/>
        <v>6.9160000000000004</v>
      </c>
      <c r="K80">
        <v>100000</v>
      </c>
      <c r="L80">
        <f>0.03*K80*0.4</f>
        <v>1200</v>
      </c>
      <c r="M80" s="4">
        <f>(L80-0.017*L80)*0.4</f>
        <v>471.84</v>
      </c>
      <c r="N80" s="4">
        <f>(M80-0.017*M80)*0.4</f>
        <v>185.52748800000001</v>
      </c>
      <c r="O80" s="1">
        <f t="shared" si="29"/>
        <v>101857.367488</v>
      </c>
    </row>
    <row r="81" spans="1:15" x14ac:dyDescent="0.2">
      <c r="A81" s="3">
        <v>0.3</v>
      </c>
      <c r="B81" s="4">
        <v>100000</v>
      </c>
      <c r="C81" s="4">
        <f t="shared" si="24"/>
        <v>400</v>
      </c>
      <c r="D81">
        <f t="shared" si="25"/>
        <v>3000</v>
      </c>
      <c r="E81">
        <f>0.35*C81*0.3</f>
        <v>42</v>
      </c>
      <c r="F81" s="1">
        <f t="shared" si="26"/>
        <v>14.7</v>
      </c>
      <c r="G81" s="1">
        <f>0.3*E81*0.3</f>
        <v>3.78</v>
      </c>
      <c r="H81" s="1">
        <f>0.15*E81*0.3*0.3</f>
        <v>0.56699999999999995</v>
      </c>
      <c r="I81" s="1">
        <f t="shared" si="27"/>
        <v>19.047000000000001</v>
      </c>
      <c r="J81" s="10">
        <f t="shared" si="28"/>
        <v>4.7617500000000001</v>
      </c>
      <c r="K81">
        <v>100000</v>
      </c>
      <c r="L81">
        <f>0.03*K81*0.3</f>
        <v>900</v>
      </c>
      <c r="M81" s="4">
        <f>(L81-0.017*L81)*0.3</f>
        <v>265.41000000000003</v>
      </c>
      <c r="N81" s="4">
        <f>(M81-0.017*M81)*0.3</f>
        <v>78.269408999999996</v>
      </c>
      <c r="O81" s="1">
        <f t="shared" si="29"/>
        <v>101243.679409</v>
      </c>
    </row>
    <row r="82" spans="1:15" x14ac:dyDescent="0.2">
      <c r="A82" s="3">
        <v>0.2</v>
      </c>
      <c r="B82" s="4">
        <v>100000</v>
      </c>
      <c r="C82" s="4">
        <f t="shared" si="24"/>
        <v>400</v>
      </c>
      <c r="D82">
        <f t="shared" si="25"/>
        <v>3000</v>
      </c>
      <c r="E82">
        <f>0.35*C82*0.2</f>
        <v>28</v>
      </c>
      <c r="F82" s="1">
        <f t="shared" si="26"/>
        <v>9.7999999999999989</v>
      </c>
      <c r="G82" s="1">
        <f>0.3*E82*0.2</f>
        <v>1.6800000000000002</v>
      </c>
      <c r="H82" s="1">
        <f>0.15*E82*0.2*0.2</f>
        <v>0.16800000000000004</v>
      </c>
      <c r="I82" s="1">
        <f t="shared" si="27"/>
        <v>11.647999999999998</v>
      </c>
      <c r="J82" s="10">
        <f t="shared" si="28"/>
        <v>2.9119999999999995</v>
      </c>
      <c r="K82">
        <v>100000</v>
      </c>
      <c r="L82">
        <f>0.03*K82*0.2</f>
        <v>600</v>
      </c>
      <c r="M82" s="4">
        <f>(L82-0.017*L82)*0.2</f>
        <v>117.96</v>
      </c>
      <c r="N82" s="4">
        <f>(M82-0.017*M82)*0.2</f>
        <v>23.190936000000001</v>
      </c>
      <c r="O82" s="1">
        <f t="shared" si="29"/>
        <v>100741.15093600001</v>
      </c>
    </row>
    <row r="83" spans="1:15" x14ac:dyDescent="0.2">
      <c r="A83" s="3">
        <v>0.1</v>
      </c>
      <c r="B83" s="4">
        <v>100000</v>
      </c>
      <c r="C83" s="4">
        <f t="shared" si="24"/>
        <v>400</v>
      </c>
      <c r="D83">
        <f t="shared" si="25"/>
        <v>3000</v>
      </c>
      <c r="E83">
        <f>0.35*C83*0.1</f>
        <v>14</v>
      </c>
      <c r="F83" s="1">
        <f t="shared" si="26"/>
        <v>4.8999999999999995</v>
      </c>
      <c r="G83" s="1">
        <f>0.3*E83*0.1</f>
        <v>0.42000000000000004</v>
      </c>
      <c r="H83" s="1">
        <f>0.15*E83*0.1*0.1</f>
        <v>2.1000000000000005E-2</v>
      </c>
      <c r="I83" s="1">
        <f t="shared" si="27"/>
        <v>5.3409999999999993</v>
      </c>
      <c r="J83" s="10">
        <f t="shared" si="28"/>
        <v>1.3352499999999998</v>
      </c>
      <c r="K83">
        <v>100000</v>
      </c>
      <c r="L83">
        <f>0.03*K83*0.1</f>
        <v>300</v>
      </c>
      <c r="M83" s="4">
        <f>(L83-0.017*L83)*0.1</f>
        <v>29.49</v>
      </c>
      <c r="N83" s="4">
        <f>(M83-0.017*M83)*0.1</f>
        <v>2.8988670000000001</v>
      </c>
      <c r="O83" s="1">
        <f t="shared" si="29"/>
        <v>100332.388867</v>
      </c>
    </row>
    <row r="84" spans="1:15" x14ac:dyDescent="0.2">
      <c r="A84" s="3">
        <v>0</v>
      </c>
      <c r="B84" s="4">
        <v>100000</v>
      </c>
      <c r="C84" s="4">
        <f t="shared" si="24"/>
        <v>400</v>
      </c>
      <c r="D84">
        <f t="shared" si="25"/>
        <v>3000</v>
      </c>
      <c r="E84">
        <f>0.3*C84*0</f>
        <v>0</v>
      </c>
      <c r="F84" s="1">
        <f t="shared" si="26"/>
        <v>0</v>
      </c>
      <c r="G84" s="1">
        <f>0.3*E84*0</f>
        <v>0</v>
      </c>
      <c r="H84" s="1">
        <f>0.15*E84*0</f>
        <v>0</v>
      </c>
      <c r="I84" s="1">
        <f t="shared" si="27"/>
        <v>0</v>
      </c>
      <c r="J84" s="10">
        <f t="shared" si="28"/>
        <v>0</v>
      </c>
      <c r="K84">
        <v>100000</v>
      </c>
      <c r="L84">
        <f>0.03*K84*0</f>
        <v>0</v>
      </c>
      <c r="M84" s="4">
        <f>(L84-0.017*L84)*0</f>
        <v>0</v>
      </c>
      <c r="N84" s="4">
        <f>(M84-0.017*M84)*0</f>
        <v>0</v>
      </c>
      <c r="O84" s="1">
        <f t="shared" si="29"/>
        <v>100000</v>
      </c>
    </row>
    <row r="86" spans="1:15" s="6" customFormat="1" x14ac:dyDescent="0.2">
      <c r="A86" s="15" t="s">
        <v>25</v>
      </c>
    </row>
    <row r="88" spans="1:15" x14ac:dyDescent="0.2">
      <c r="A88" s="2" t="s">
        <v>12</v>
      </c>
      <c r="B88" s="2" t="s">
        <v>1</v>
      </c>
      <c r="C88" s="2" t="s">
        <v>2</v>
      </c>
      <c r="D88" s="2" t="s">
        <v>15</v>
      </c>
      <c r="E88" s="2" t="s">
        <v>21</v>
      </c>
      <c r="F88" s="2" t="s">
        <v>7</v>
      </c>
      <c r="G88" s="2" t="s">
        <v>8</v>
      </c>
      <c r="H88" s="2" t="s">
        <v>9</v>
      </c>
      <c r="I88" s="2" t="s">
        <v>10</v>
      </c>
      <c r="J88" s="11" t="s">
        <v>11</v>
      </c>
      <c r="K88" s="2" t="s">
        <v>14</v>
      </c>
      <c r="L88" s="2" t="s">
        <v>3</v>
      </c>
      <c r="M88" s="2" t="s">
        <v>4</v>
      </c>
      <c r="N88" s="2" t="s">
        <v>5</v>
      </c>
      <c r="O88" s="2" t="s">
        <v>6</v>
      </c>
    </row>
    <row r="89" spans="1:15" x14ac:dyDescent="0.2">
      <c r="A89" s="3">
        <v>1</v>
      </c>
      <c r="B89" s="4">
        <v>100000</v>
      </c>
      <c r="C89" s="4">
        <f>0.004*B89</f>
        <v>400</v>
      </c>
      <c r="D89">
        <f>C89*1</f>
        <v>400</v>
      </c>
      <c r="E89">
        <f>0.03*B89</f>
        <v>3000</v>
      </c>
      <c r="F89" s="4">
        <f>0.35*D89</f>
        <v>140</v>
      </c>
      <c r="G89" s="1">
        <f>0.35*0.3*D89*1</f>
        <v>42</v>
      </c>
      <c r="H89" s="1">
        <f>0.35*0.15*D89*1</f>
        <v>21</v>
      </c>
      <c r="I89" s="1">
        <f>F89+G89+H89</f>
        <v>203</v>
      </c>
      <c r="J89" s="10">
        <f t="shared" ref="J89:J99" si="30">I89/C89*100</f>
        <v>50.749999999999993</v>
      </c>
      <c r="K89">
        <v>100000</v>
      </c>
      <c r="L89">
        <v>100000</v>
      </c>
      <c r="M89" s="4">
        <f>(L89*0.03-F89)*1</f>
        <v>2860</v>
      </c>
      <c r="N89" s="4">
        <f>(M89-0.017*M89)*1</f>
        <v>2811.38</v>
      </c>
      <c r="O89" s="1">
        <f>K89+L89+M89+N89</f>
        <v>205671.38</v>
      </c>
    </row>
    <row r="90" spans="1:15" x14ac:dyDescent="0.2">
      <c r="A90" s="3">
        <v>0.9</v>
      </c>
      <c r="B90" s="4">
        <v>100000</v>
      </c>
      <c r="C90" s="4">
        <f t="shared" ref="C90:C99" si="31">0.004*B90</f>
        <v>400</v>
      </c>
      <c r="D90">
        <f t="shared" ref="D90:D99" si="32">C90*1</f>
        <v>400</v>
      </c>
      <c r="E90">
        <f t="shared" ref="E90:E99" si="33">0.03*B90</f>
        <v>3000</v>
      </c>
      <c r="F90" s="4">
        <f t="shared" ref="F90:F99" si="34">0.35*D90</f>
        <v>140</v>
      </c>
      <c r="G90" s="1">
        <f>0.35*0.3*D90*0.9</f>
        <v>37.800000000000004</v>
      </c>
      <c r="H90" s="1">
        <f>0.35*0.15*D90*0.9*0.9</f>
        <v>17.010000000000002</v>
      </c>
      <c r="I90" s="1">
        <f t="shared" ref="I90:I99" si="35">F90+G90+H90</f>
        <v>194.81</v>
      </c>
      <c r="J90" s="10">
        <f t="shared" si="30"/>
        <v>48.702500000000001</v>
      </c>
      <c r="K90">
        <v>100000</v>
      </c>
      <c r="L90">
        <v>100000</v>
      </c>
      <c r="M90" s="4">
        <f>(L90*0.03-F90)*0.9</f>
        <v>2574</v>
      </c>
      <c r="N90" s="4">
        <f>(M90-0.017*M90)*0.9</f>
        <v>2277.2178000000004</v>
      </c>
      <c r="O90" s="1">
        <f t="shared" ref="O90:O99" si="36">K90+L90+M90+N90</f>
        <v>204851.21780000001</v>
      </c>
    </row>
    <row r="91" spans="1:15" x14ac:dyDescent="0.2">
      <c r="A91" s="3">
        <v>0.8</v>
      </c>
      <c r="B91" s="4">
        <v>100000</v>
      </c>
      <c r="C91" s="4">
        <f t="shared" si="31"/>
        <v>400</v>
      </c>
      <c r="D91">
        <f t="shared" si="32"/>
        <v>400</v>
      </c>
      <c r="E91">
        <f t="shared" si="33"/>
        <v>3000</v>
      </c>
      <c r="F91" s="4">
        <f t="shared" si="34"/>
        <v>140</v>
      </c>
      <c r="G91" s="1">
        <f>0.35*0.3*D91*0.8</f>
        <v>33.6</v>
      </c>
      <c r="H91" s="1">
        <f>0.35*0.15*D91*0.8*0.8</f>
        <v>13.440000000000001</v>
      </c>
      <c r="I91" s="1">
        <f t="shared" si="35"/>
        <v>187.04</v>
      </c>
      <c r="J91" s="10">
        <f t="shared" si="30"/>
        <v>46.76</v>
      </c>
      <c r="K91">
        <v>100000</v>
      </c>
      <c r="L91">
        <v>100000</v>
      </c>
      <c r="M91" s="4">
        <f>(L91*0.03-F91)*0.8</f>
        <v>2288</v>
      </c>
      <c r="N91" s="4">
        <f>(M91-0.017*M91)*0.8</f>
        <v>1799.2831999999999</v>
      </c>
      <c r="O91" s="1">
        <f t="shared" si="36"/>
        <v>204087.28320000001</v>
      </c>
    </row>
    <row r="92" spans="1:15" x14ac:dyDescent="0.2">
      <c r="A92" s="3">
        <v>0.7</v>
      </c>
      <c r="B92" s="4">
        <v>100000</v>
      </c>
      <c r="C92" s="4">
        <f t="shared" si="31"/>
        <v>400</v>
      </c>
      <c r="D92">
        <f t="shared" si="32"/>
        <v>400</v>
      </c>
      <c r="E92">
        <f t="shared" si="33"/>
        <v>3000</v>
      </c>
      <c r="F92" s="4">
        <f t="shared" si="34"/>
        <v>140</v>
      </c>
      <c r="G92" s="1">
        <f>0.35*0.3*D92*0.7</f>
        <v>29.4</v>
      </c>
      <c r="H92" s="1">
        <f>0.35*0.15*D92*0.7*0.7</f>
        <v>10.29</v>
      </c>
      <c r="I92" s="1">
        <f t="shared" si="35"/>
        <v>179.69</v>
      </c>
      <c r="J92" s="10">
        <f t="shared" si="30"/>
        <v>44.922499999999999</v>
      </c>
      <c r="K92">
        <v>100000</v>
      </c>
      <c r="L92">
        <v>100000</v>
      </c>
      <c r="M92" s="4">
        <f>(L92*0.03-F92)*0.7</f>
        <v>2001.9999999999998</v>
      </c>
      <c r="N92" s="4">
        <f>(M92-0.017*M92)*0.7</f>
        <v>1377.5761999999997</v>
      </c>
      <c r="O92" s="1">
        <f t="shared" si="36"/>
        <v>203379.57620000001</v>
      </c>
    </row>
    <row r="93" spans="1:15" x14ac:dyDescent="0.2">
      <c r="A93" s="3">
        <v>0.6</v>
      </c>
      <c r="B93" s="4">
        <v>100000</v>
      </c>
      <c r="C93" s="4">
        <f t="shared" si="31"/>
        <v>400</v>
      </c>
      <c r="D93">
        <f t="shared" si="32"/>
        <v>400</v>
      </c>
      <c r="E93">
        <f t="shared" si="33"/>
        <v>3000</v>
      </c>
      <c r="F93" s="4">
        <f t="shared" si="34"/>
        <v>140</v>
      </c>
      <c r="G93" s="1">
        <f>0.35*0.3*D93*0.6</f>
        <v>25.2</v>
      </c>
      <c r="H93" s="1">
        <f>0.35*0.15*D93*0.6*0.6</f>
        <v>7.56</v>
      </c>
      <c r="I93" s="1">
        <f t="shared" si="35"/>
        <v>172.76</v>
      </c>
      <c r="J93" s="10">
        <f t="shared" si="30"/>
        <v>43.19</v>
      </c>
      <c r="K93">
        <v>100000</v>
      </c>
      <c r="L93">
        <v>100000</v>
      </c>
      <c r="M93" s="4">
        <f>(L93*0.03-F93)*0.6</f>
        <v>1716</v>
      </c>
      <c r="N93" s="4">
        <f>(M93-0.017*M93)*0.6</f>
        <v>1012.0967999999999</v>
      </c>
      <c r="O93" s="1">
        <f t="shared" si="36"/>
        <v>202728.0968</v>
      </c>
    </row>
    <row r="94" spans="1:15" x14ac:dyDescent="0.2">
      <c r="A94" s="3">
        <v>0.5</v>
      </c>
      <c r="B94" s="4">
        <v>100000</v>
      </c>
      <c r="C94" s="4">
        <f t="shared" si="31"/>
        <v>400</v>
      </c>
      <c r="D94">
        <f t="shared" si="32"/>
        <v>400</v>
      </c>
      <c r="E94">
        <f t="shared" si="33"/>
        <v>3000</v>
      </c>
      <c r="F94" s="4">
        <f t="shared" si="34"/>
        <v>140</v>
      </c>
      <c r="G94" s="1">
        <f>0.35*0.3*D94*0.5</f>
        <v>21</v>
      </c>
      <c r="H94" s="1">
        <f>0.35*0.15*D94*0.5*0.5</f>
        <v>5.25</v>
      </c>
      <c r="I94" s="1">
        <f t="shared" si="35"/>
        <v>166.25</v>
      </c>
      <c r="J94" s="10">
        <f t="shared" si="30"/>
        <v>41.5625</v>
      </c>
      <c r="K94">
        <v>100000</v>
      </c>
      <c r="L94">
        <v>100000</v>
      </c>
      <c r="M94" s="4">
        <f>(L94*0.03-F94)*0.5</f>
        <v>1430</v>
      </c>
      <c r="N94" s="4">
        <f>(M94-0.017*M94)*0.5</f>
        <v>702.84500000000003</v>
      </c>
      <c r="O94" s="1">
        <f t="shared" si="36"/>
        <v>202132.845</v>
      </c>
    </row>
    <row r="95" spans="1:15" x14ac:dyDescent="0.2">
      <c r="A95" s="3">
        <v>0.4</v>
      </c>
      <c r="B95" s="4">
        <v>100000</v>
      </c>
      <c r="C95" s="4">
        <f t="shared" si="31"/>
        <v>400</v>
      </c>
      <c r="D95">
        <f t="shared" si="32"/>
        <v>400</v>
      </c>
      <c r="E95">
        <f t="shared" si="33"/>
        <v>3000</v>
      </c>
      <c r="F95" s="4">
        <f t="shared" si="34"/>
        <v>140</v>
      </c>
      <c r="G95" s="1">
        <f>0.35*0.3*D95*0.4</f>
        <v>16.8</v>
      </c>
      <c r="H95" s="1">
        <f>0.35*0.15*D95*0.4*0.4</f>
        <v>3.3600000000000003</v>
      </c>
      <c r="I95" s="1">
        <f t="shared" si="35"/>
        <v>160.16000000000003</v>
      </c>
      <c r="J95" s="10">
        <f t="shared" si="30"/>
        <v>40.040000000000006</v>
      </c>
      <c r="K95">
        <v>100000</v>
      </c>
      <c r="L95">
        <v>100000</v>
      </c>
      <c r="M95" s="4">
        <f>(L95*0.03-F95)*0.4</f>
        <v>1144</v>
      </c>
      <c r="N95" s="4">
        <f>(M95-0.017*M95)*0.4</f>
        <v>449.82079999999996</v>
      </c>
      <c r="O95" s="1">
        <f t="shared" si="36"/>
        <v>201593.82079999999</v>
      </c>
    </row>
    <row r="96" spans="1:15" x14ac:dyDescent="0.2">
      <c r="A96" s="3">
        <v>0.3</v>
      </c>
      <c r="B96" s="4">
        <v>100000</v>
      </c>
      <c r="C96" s="4">
        <f t="shared" si="31"/>
        <v>400</v>
      </c>
      <c r="D96">
        <f t="shared" si="32"/>
        <v>400</v>
      </c>
      <c r="E96">
        <f t="shared" si="33"/>
        <v>3000</v>
      </c>
      <c r="F96" s="4">
        <f t="shared" si="34"/>
        <v>140</v>
      </c>
      <c r="G96" s="1">
        <f>0.35*0.3*D96*0.3</f>
        <v>12.6</v>
      </c>
      <c r="H96" s="1">
        <f>0.35*0.15*D96*0.3*0.3</f>
        <v>1.89</v>
      </c>
      <c r="I96" s="1">
        <f t="shared" si="35"/>
        <v>154.48999999999998</v>
      </c>
      <c r="J96" s="10">
        <f t="shared" si="30"/>
        <v>38.622499999999995</v>
      </c>
      <c r="K96">
        <v>100000</v>
      </c>
      <c r="L96">
        <v>100000</v>
      </c>
      <c r="M96" s="4">
        <f>(L96*0.03-F96)*0.3</f>
        <v>858</v>
      </c>
      <c r="N96" s="4">
        <f>(M96-0.017*M96)*0.3</f>
        <v>253.02419999999998</v>
      </c>
      <c r="O96" s="1">
        <f t="shared" si="36"/>
        <v>201111.02420000001</v>
      </c>
    </row>
    <row r="97" spans="1:15" x14ac:dyDescent="0.2">
      <c r="A97" s="3">
        <v>0.2</v>
      </c>
      <c r="B97" s="4">
        <v>100000</v>
      </c>
      <c r="C97" s="4">
        <f t="shared" si="31"/>
        <v>400</v>
      </c>
      <c r="D97">
        <f t="shared" si="32"/>
        <v>400</v>
      </c>
      <c r="E97">
        <f t="shared" si="33"/>
        <v>3000</v>
      </c>
      <c r="F97" s="4">
        <f t="shared" si="34"/>
        <v>140</v>
      </c>
      <c r="G97" s="1">
        <f>0.35*0.3*D97*0.2</f>
        <v>8.4</v>
      </c>
      <c r="H97" s="1">
        <f>0.35*0.15*D97*0.2*0.2</f>
        <v>0.84000000000000008</v>
      </c>
      <c r="I97" s="1">
        <f t="shared" si="35"/>
        <v>149.24</v>
      </c>
      <c r="J97" s="10">
        <f t="shared" si="30"/>
        <v>37.31</v>
      </c>
      <c r="K97">
        <v>100000</v>
      </c>
      <c r="L97">
        <v>100000</v>
      </c>
      <c r="M97" s="4">
        <f>(L97*0.03-F97)*0.2</f>
        <v>572</v>
      </c>
      <c r="N97" s="4">
        <f>(M97-0.017*M97)*0.2</f>
        <v>112.45519999999999</v>
      </c>
      <c r="O97" s="1">
        <f t="shared" si="36"/>
        <v>200684.4552</v>
      </c>
    </row>
    <row r="98" spans="1:15" x14ac:dyDescent="0.2">
      <c r="A98" s="3">
        <v>0.1</v>
      </c>
      <c r="B98" s="4">
        <v>100000</v>
      </c>
      <c r="C98" s="4">
        <f t="shared" si="31"/>
        <v>400</v>
      </c>
      <c r="D98">
        <f t="shared" si="32"/>
        <v>400</v>
      </c>
      <c r="E98">
        <f t="shared" si="33"/>
        <v>3000</v>
      </c>
      <c r="F98" s="4">
        <f t="shared" si="34"/>
        <v>140</v>
      </c>
      <c r="G98" s="1">
        <f>0.35*0.3*D98*0.1</f>
        <v>4.2</v>
      </c>
      <c r="H98" s="1">
        <f>0.35*0.15*D98*0.1*0.1</f>
        <v>0.21000000000000002</v>
      </c>
      <c r="I98" s="1">
        <f t="shared" si="35"/>
        <v>144.41</v>
      </c>
      <c r="J98" s="10">
        <f t="shared" si="30"/>
        <v>36.102499999999999</v>
      </c>
      <c r="K98">
        <v>100000</v>
      </c>
      <c r="L98">
        <v>100000</v>
      </c>
      <c r="M98" s="4">
        <f>(L98*0.03-F98)*0.1</f>
        <v>286</v>
      </c>
      <c r="N98" s="4">
        <f>(M98-0.017*M98)*0.1</f>
        <v>28.113799999999998</v>
      </c>
      <c r="O98" s="1">
        <f t="shared" si="36"/>
        <v>200314.11379999999</v>
      </c>
    </row>
    <row r="99" spans="1:15" x14ac:dyDescent="0.2">
      <c r="A99" s="3">
        <v>0</v>
      </c>
      <c r="B99" s="4">
        <v>100000</v>
      </c>
      <c r="C99" s="4">
        <f t="shared" si="31"/>
        <v>400</v>
      </c>
      <c r="D99">
        <f t="shared" si="32"/>
        <v>400</v>
      </c>
      <c r="E99">
        <f t="shared" si="33"/>
        <v>3000</v>
      </c>
      <c r="F99" s="4">
        <f t="shared" si="34"/>
        <v>140</v>
      </c>
      <c r="G99" s="1">
        <f>0.35*0.3*D99*0</f>
        <v>0</v>
      </c>
      <c r="H99" s="1">
        <f>0.35*0.15*D99*0</f>
        <v>0</v>
      </c>
      <c r="I99" s="1">
        <f t="shared" si="35"/>
        <v>140</v>
      </c>
      <c r="J99" s="10">
        <f t="shared" si="30"/>
        <v>35</v>
      </c>
      <c r="K99">
        <v>100000</v>
      </c>
      <c r="L99">
        <v>100000</v>
      </c>
      <c r="M99" s="4">
        <f>(L99*0.03-F99)*0</f>
        <v>0</v>
      </c>
      <c r="N99" s="4">
        <f>(M99-0.017*M99)*0</f>
        <v>0</v>
      </c>
      <c r="O99" s="1">
        <f t="shared" si="36"/>
        <v>200000</v>
      </c>
    </row>
    <row r="101" spans="1:15" x14ac:dyDescent="0.2">
      <c r="A101" t="s">
        <v>23</v>
      </c>
    </row>
  </sheetData>
  <pageMargins left="0.7" right="0.7" top="0.75" bottom="0.75" header="0.3" footer="0.3"/>
  <pageSetup paperSize="9" scale="44" fitToHeight="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ESM Table S1</vt:lpstr>
      <vt:lpstr>'ESM Table S1'!Print_Area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Ezio Bonifacio</dc:creator>
  <cp:lastModifiedBy>Ezio Bonifacio</cp:lastModifiedBy>
  <cp:lastPrinted>2025-01-07T18:59:37Z</cp:lastPrinted>
  <dcterms:created xsi:type="dcterms:W3CDTF">2025-01-06T14:13:09Z</dcterms:created>
  <dcterms:modified xsi:type="dcterms:W3CDTF">2025-02-17T00:39:30Z</dcterms:modified>
</cp:coreProperties>
</file>